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" yWindow="82" windowWidth="18136" windowHeight="11316" tabRatio="892" activeTab="0"/>
  </bookViews>
  <sheets>
    <sheet name=" Income Statement 损益表" sheetId="1" r:id="rId1"/>
    <sheet name="Balance Sheet资产负债表" sheetId="2" r:id="rId2"/>
    <sheet name="Cash Flow Statement 现金流量表" sheetId="3" r:id="rId3"/>
    <sheet name="Working Capital Ratio流动资本比率" sheetId="4" r:id="rId4"/>
    <sheet name="Turnover Breakdown按业务划分之营业额" sheetId="5" r:id="rId5"/>
  </sheets>
  <definedNames/>
  <calcPr fullCalcOnLoad="1"/>
</workbook>
</file>

<file path=xl/comments1.xml><?xml version="1.0" encoding="utf-8"?>
<comments xmlns="http://schemas.openxmlformats.org/spreadsheetml/2006/main">
  <authors>
    <author>caiwu1</author>
  </authors>
  <commentList>
    <comment ref="Q21" authorId="0">
      <text>
        <r>
          <rPr>
            <b/>
            <sz val="9"/>
            <rFont val="Tahoma"/>
            <family val="2"/>
          </rPr>
          <t>caiwu1:</t>
        </r>
        <r>
          <rPr>
            <sz val="9"/>
            <rFont val="Tahoma"/>
            <family val="2"/>
          </rPr>
          <t xml:space="preserve">
-3260</t>
        </r>
      </text>
    </comment>
    <comment ref="Q19" authorId="0">
      <text>
        <r>
          <rPr>
            <b/>
            <sz val="9"/>
            <rFont val="Tahoma"/>
            <family val="2"/>
          </rPr>
          <t>caiwu1:</t>
        </r>
        <r>
          <rPr>
            <sz val="9"/>
            <rFont val="Tahoma"/>
            <family val="2"/>
          </rPr>
          <t xml:space="preserve">
175479
</t>
        </r>
      </text>
    </comment>
    <comment ref="U19" authorId="0">
      <text>
        <r>
          <rPr>
            <b/>
            <sz val="9"/>
            <rFont val="Tahoma"/>
            <family val="2"/>
          </rPr>
          <t>caiwu1:</t>
        </r>
        <r>
          <rPr>
            <sz val="9"/>
            <rFont val="Tahoma"/>
            <family val="2"/>
          </rPr>
          <t xml:space="preserve">
167036
</t>
        </r>
      </text>
    </comment>
    <comment ref="S21" authorId="0">
      <text>
        <r>
          <rPr>
            <b/>
            <sz val="9"/>
            <rFont val="Tahoma"/>
            <family val="2"/>
          </rPr>
          <t>caiwu1:</t>
        </r>
        <r>
          <rPr>
            <b/>
            <sz val="9"/>
            <rFont val="宋体"/>
            <family val="0"/>
          </rPr>
          <t>符号错误</t>
        </r>
      </text>
    </comment>
    <comment ref="Q45" authorId="0">
      <text>
        <r>
          <rPr>
            <b/>
            <sz val="9"/>
            <rFont val="Tahoma"/>
            <family val="2"/>
          </rPr>
          <t>caiwu1:</t>
        </r>
        <r>
          <rPr>
            <sz val="9"/>
            <rFont val="Tahoma"/>
            <family val="2"/>
          </rPr>
          <t xml:space="preserve">
-3260</t>
        </r>
      </text>
    </comment>
    <comment ref="S45" authorId="0">
      <text>
        <r>
          <rPr>
            <b/>
            <sz val="9"/>
            <rFont val="Tahoma"/>
            <family val="2"/>
          </rPr>
          <t>caiwu1:</t>
        </r>
        <r>
          <rPr>
            <b/>
            <sz val="9"/>
            <rFont val="宋体"/>
            <family val="0"/>
          </rPr>
          <t>符号错误</t>
        </r>
      </text>
    </comment>
  </commentList>
</comments>
</file>

<file path=xl/comments3.xml><?xml version="1.0" encoding="utf-8"?>
<comments xmlns="http://schemas.openxmlformats.org/spreadsheetml/2006/main">
  <authors>
    <author>caiwu1</author>
  </authors>
  <commentList>
    <comment ref="O9" authorId="0">
      <text>
        <r>
          <rPr>
            <b/>
            <sz val="9"/>
            <rFont val="宋体"/>
            <family val="0"/>
          </rPr>
          <t>caiwu1:</t>
        </r>
        <r>
          <rPr>
            <sz val="9"/>
            <rFont val="宋体"/>
            <family val="0"/>
          </rPr>
          <t xml:space="preserve">
12年年报数据65136</t>
        </r>
      </text>
    </comment>
    <comment ref="O10" authorId="0">
      <text>
        <r>
          <rPr>
            <b/>
            <sz val="9"/>
            <rFont val="宋体"/>
            <family val="0"/>
          </rPr>
          <t>caiwu1:</t>
        </r>
        <r>
          <rPr>
            <sz val="9"/>
            <rFont val="宋体"/>
            <family val="0"/>
          </rPr>
          <t xml:space="preserve">
132650</t>
        </r>
      </text>
    </comment>
    <comment ref="O12" authorId="0">
      <text>
        <r>
          <rPr>
            <b/>
            <sz val="9"/>
            <rFont val="宋体"/>
            <family val="0"/>
          </rPr>
          <t>caiwu1:</t>
        </r>
        <r>
          <rPr>
            <sz val="9"/>
            <rFont val="宋体"/>
            <family val="0"/>
          </rPr>
          <t xml:space="preserve">
-29513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P6" authorId="0">
      <text>
        <r>
          <rPr>
            <b/>
            <sz val="9"/>
            <rFont val="Tahoma"/>
            <family val="2"/>
          </rPr>
          <t xml:space="preserve"> :</t>
        </r>
        <r>
          <rPr>
            <sz val="9"/>
            <rFont val="Tahoma"/>
            <family val="2"/>
          </rPr>
          <t xml:space="preserve">
have not annualised</t>
        </r>
      </text>
    </comment>
    <comment ref="P7" authorId="0">
      <text>
        <r>
          <rPr>
            <b/>
            <sz val="9"/>
            <rFont val="Tahoma"/>
            <family val="2"/>
          </rPr>
          <t xml:space="preserve"> :</t>
        </r>
        <r>
          <rPr>
            <sz val="9"/>
            <rFont val="Tahoma"/>
            <family val="2"/>
          </rPr>
          <t xml:space="preserve">
have not annualised</t>
        </r>
      </text>
    </comment>
  </commentList>
</comments>
</file>

<file path=xl/sharedStrings.xml><?xml version="1.0" encoding="utf-8"?>
<sst xmlns="http://schemas.openxmlformats.org/spreadsheetml/2006/main" count="355" uniqueCount="203">
  <si>
    <t>FY2006</t>
  </si>
  <si>
    <t>AUDITED</t>
  </si>
  <si>
    <t>Turnover</t>
  </si>
  <si>
    <t>COGS</t>
  </si>
  <si>
    <t>Gross profit</t>
  </si>
  <si>
    <t>Profit to Equity Holders</t>
  </si>
  <si>
    <t>Minority interests</t>
  </si>
  <si>
    <t>Taxation credits / (expense)</t>
  </si>
  <si>
    <t>Interest income</t>
  </si>
  <si>
    <t>Interest (expense)</t>
  </si>
  <si>
    <t>EBIT</t>
  </si>
  <si>
    <t>(Depreciation)</t>
  </si>
  <si>
    <t>(Amortisation)</t>
  </si>
  <si>
    <t>EBITDA</t>
  </si>
  <si>
    <t>Gross margin</t>
  </si>
  <si>
    <t>Operating margin</t>
  </si>
  <si>
    <t>Net margin</t>
  </si>
  <si>
    <t>Dividend payout</t>
  </si>
  <si>
    <t>EBITDA margin</t>
  </si>
  <si>
    <t>EBIT margin</t>
  </si>
  <si>
    <t>FY2008</t>
  </si>
  <si>
    <t>FY2007</t>
  </si>
  <si>
    <t>Unaudited</t>
  </si>
  <si>
    <t>Financial summary of DaChan Food (Asia) Ltd</t>
  </si>
  <si>
    <t>Inventories</t>
  </si>
  <si>
    <t>Total current assets</t>
  </si>
  <si>
    <t>Total assets</t>
  </si>
  <si>
    <t>Bank loans and other borrowings</t>
  </si>
  <si>
    <t>Total current liablities</t>
  </si>
  <si>
    <t>Total liablities</t>
  </si>
  <si>
    <t>Shareholders' equity</t>
  </si>
  <si>
    <t>Liquidity ratio</t>
  </si>
  <si>
    <t>Current ratio</t>
  </si>
  <si>
    <t>Quick ratio</t>
  </si>
  <si>
    <t>Trade and other receivables</t>
  </si>
  <si>
    <t>Trade and other payables</t>
  </si>
  <si>
    <t>Cash and cash equivalents</t>
  </si>
  <si>
    <t>Debt ratio</t>
  </si>
  <si>
    <t>Net Cash used in investing activities</t>
  </si>
  <si>
    <t>Net Cash from/ used in financing activities</t>
  </si>
  <si>
    <t>Net increase/(decrease) in cashflow</t>
  </si>
  <si>
    <t>Cash at the beginning of the year</t>
  </si>
  <si>
    <t>Cash at the end of the year</t>
  </si>
  <si>
    <t>Net Cash from/used in operating activities</t>
  </si>
  <si>
    <t>Effect on foreign exchange rate changes</t>
  </si>
  <si>
    <t>FY2004</t>
  </si>
  <si>
    <t>FY2005</t>
  </si>
  <si>
    <t>FY2007</t>
  </si>
  <si>
    <t>FY2008</t>
  </si>
  <si>
    <t>Operating ratio</t>
  </si>
  <si>
    <t>Return on Equity (ROE)</t>
  </si>
  <si>
    <t>Return on Assets (ROA)</t>
  </si>
  <si>
    <t>Revenue Breakdown</t>
  </si>
  <si>
    <t>Total turnover</t>
  </si>
  <si>
    <t>Expressed in %</t>
  </si>
  <si>
    <t>Feed</t>
  </si>
  <si>
    <t>Processed Foods</t>
  </si>
  <si>
    <t>Chicken Meat</t>
  </si>
  <si>
    <t>FY20091H</t>
  </si>
  <si>
    <t>Unaudited</t>
  </si>
  <si>
    <t>Profit from operation</t>
  </si>
  <si>
    <t>Profit for the year</t>
  </si>
  <si>
    <t>Dividend (HK cents)</t>
  </si>
  <si>
    <t>Inventory turnover days  (annualised)</t>
  </si>
  <si>
    <t>A/R Turnover  (annualised)</t>
  </si>
  <si>
    <t>A/P Turnover  (annualised)</t>
  </si>
  <si>
    <t>Selected income statement data</t>
  </si>
  <si>
    <t>Selected balance sheet data</t>
  </si>
  <si>
    <t>Selected cash flow data</t>
  </si>
  <si>
    <t>Profitability ratio</t>
  </si>
  <si>
    <t>FY20111H</t>
  </si>
  <si>
    <t>FY2010</t>
  </si>
  <si>
    <t>FY2009</t>
  </si>
  <si>
    <t>FY2006</t>
  </si>
  <si>
    <t>FY20111H</t>
  </si>
  <si>
    <t>FY2010</t>
  </si>
  <si>
    <t>FY2009</t>
  </si>
  <si>
    <t>FY2008</t>
  </si>
  <si>
    <t>FY2007</t>
  </si>
  <si>
    <t>FY2006</t>
  </si>
  <si>
    <t>Business Segment Breakdown</t>
  </si>
  <si>
    <t>Expressed in RMB'000</t>
  </si>
  <si>
    <t>-</t>
  </si>
  <si>
    <t>Expressed in RMB'000</t>
  </si>
  <si>
    <t>EPS - basic (RMB)</t>
  </si>
  <si>
    <t>中文翻译</t>
  </si>
  <si>
    <t>中文翻译</t>
  </si>
  <si>
    <r>
      <t>2011</t>
    </r>
    <r>
      <rPr>
        <b/>
        <sz val="9"/>
        <color indexed="23"/>
        <rFont val="宋体"/>
        <family val="0"/>
      </rPr>
      <t>年度</t>
    </r>
  </si>
  <si>
    <t>营业额</t>
  </si>
  <si>
    <t>销售成本</t>
  </si>
  <si>
    <t>毛利</t>
  </si>
  <si>
    <t>经营溢利</t>
  </si>
  <si>
    <t>净收益</t>
  </si>
  <si>
    <t>股利（港币）</t>
  </si>
  <si>
    <r>
      <rPr>
        <sz val="9"/>
        <color indexed="8"/>
        <rFont val="宋体"/>
        <family val="0"/>
      </rPr>
      <t>每股盈利</t>
    </r>
    <r>
      <rPr>
        <sz val="9"/>
        <color indexed="8"/>
        <rFont val="Arial"/>
        <family val="2"/>
      </rPr>
      <t>-</t>
    </r>
    <r>
      <rPr>
        <sz val="9"/>
        <color indexed="8"/>
        <rFont val="宋体"/>
        <family val="0"/>
      </rPr>
      <t>基本（人民币）</t>
    </r>
  </si>
  <si>
    <t>股东盈利</t>
  </si>
  <si>
    <t>少数股东权益</t>
  </si>
  <si>
    <t>所得税开支</t>
  </si>
  <si>
    <t>利息收入</t>
  </si>
  <si>
    <t>利息支出</t>
  </si>
  <si>
    <t>扣除利息、税项前利润</t>
  </si>
  <si>
    <t>折旧</t>
  </si>
  <si>
    <t>摊销</t>
  </si>
  <si>
    <t>扣除利息、税项、折旧及摊销前盈利</t>
  </si>
  <si>
    <t>盈利比利</t>
  </si>
  <si>
    <t>毛利率</t>
  </si>
  <si>
    <t>经营利润率</t>
  </si>
  <si>
    <t>纯利率</t>
  </si>
  <si>
    <t>派息率</t>
  </si>
  <si>
    <t>扣除利息、税项、折旧及摊销前盈利率</t>
  </si>
  <si>
    <t>扣除利息、税项前利润率</t>
  </si>
  <si>
    <t>存货</t>
  </si>
  <si>
    <t>应收账款</t>
  </si>
  <si>
    <t>现金</t>
  </si>
  <si>
    <t>流动资产总额</t>
  </si>
  <si>
    <t>总资产</t>
  </si>
  <si>
    <t>应付账款</t>
  </si>
  <si>
    <t>银行贷款及其它借贷</t>
  </si>
  <si>
    <t>流动负债总额</t>
  </si>
  <si>
    <t>总负债</t>
  </si>
  <si>
    <t>股东应占权益</t>
  </si>
  <si>
    <t>流动比率</t>
  </si>
  <si>
    <t>速动比率</t>
  </si>
  <si>
    <t>资产负债比率</t>
  </si>
  <si>
    <t>负债比率</t>
  </si>
  <si>
    <t>经营活动所得现金净额</t>
  </si>
  <si>
    <t>投资业务(所用)所得现金净额</t>
  </si>
  <si>
    <t>融资活动(所用)所得现金净额</t>
  </si>
  <si>
    <t>现金及现金等价物增加(减少)净额</t>
  </si>
  <si>
    <t>年初之现金及现金等价物</t>
  </si>
  <si>
    <t>汇率变动之影响</t>
  </si>
  <si>
    <t>年终之现金及现金等价物</t>
  </si>
  <si>
    <t>2011年度</t>
  </si>
  <si>
    <t>收入明细</t>
  </si>
  <si>
    <t>鲜鸡肉食品</t>
  </si>
  <si>
    <t>饲料</t>
  </si>
  <si>
    <t>熟鸡肉食品</t>
  </si>
  <si>
    <t>总营业额</t>
  </si>
  <si>
    <t>以%列示</t>
  </si>
  <si>
    <r>
      <rPr>
        <sz val="12"/>
        <color indexed="8"/>
        <rFont val="宋体"/>
        <family val="0"/>
      </rPr>
      <t>隐藏了</t>
    </r>
    <r>
      <rPr>
        <sz val="12"/>
        <color indexed="8"/>
        <rFont val="Calibri"/>
        <family val="2"/>
      </rPr>
      <t>2011</t>
    </r>
    <r>
      <rPr>
        <sz val="12"/>
        <color indexed="8"/>
        <rFont val="宋体"/>
        <family val="0"/>
      </rPr>
      <t>年中期数据</t>
    </r>
  </si>
  <si>
    <r>
      <rPr>
        <sz val="12"/>
        <color indexed="8"/>
        <rFont val="宋体"/>
        <family val="0"/>
      </rPr>
      <t>在</t>
    </r>
    <r>
      <rPr>
        <sz val="12"/>
        <color indexed="8"/>
        <rFont val="Calibri"/>
        <family val="2"/>
      </rPr>
      <t>E</t>
    </r>
    <r>
      <rPr>
        <sz val="12"/>
        <color indexed="8"/>
        <rFont val="宋体"/>
        <family val="0"/>
      </rPr>
      <t>列</t>
    </r>
  </si>
  <si>
    <t>此行数据以前年度是否需要修改？</t>
  </si>
  <si>
    <t>FY2011</t>
  </si>
  <si>
    <t>FY2011</t>
  </si>
  <si>
    <t>FY2011</t>
  </si>
  <si>
    <r>
      <rPr>
        <sz val="10"/>
        <color indexed="63"/>
        <rFont val="宋体"/>
        <family val="0"/>
      </rPr>
      <t>资产回报率（税后净利润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0"/>
      </rPr>
      <t>平均总资产）</t>
    </r>
  </si>
  <si>
    <r>
      <rPr>
        <sz val="10"/>
        <color indexed="63"/>
        <rFont val="宋体"/>
        <family val="0"/>
      </rPr>
      <t>股本回报率（税后净利润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0"/>
      </rPr>
      <t>平均净资产）</t>
    </r>
  </si>
  <si>
    <r>
      <rPr>
        <sz val="10"/>
        <color indexed="63"/>
        <rFont val="宋体"/>
        <family val="0"/>
      </rPr>
      <t>应收帐款周转天数</t>
    </r>
    <r>
      <rPr>
        <sz val="10"/>
        <color indexed="63"/>
        <rFont val="Arial"/>
        <family val="2"/>
      </rPr>
      <t xml:space="preserve"> (</t>
    </r>
    <r>
      <rPr>
        <sz val="10"/>
        <color indexed="63"/>
        <rFont val="宋体"/>
        <family val="0"/>
      </rPr>
      <t>按年计</t>
    </r>
    <r>
      <rPr>
        <sz val="10"/>
        <color indexed="63"/>
        <rFont val="Arial"/>
        <family val="2"/>
      </rPr>
      <t xml:space="preserve">)
</t>
    </r>
    <r>
      <rPr>
        <sz val="10"/>
        <color indexed="63"/>
        <rFont val="宋体"/>
        <family val="0"/>
      </rPr>
      <t>平均应收账款</t>
    </r>
    <r>
      <rPr>
        <sz val="10"/>
        <color indexed="63"/>
        <rFont val="Arial"/>
        <family val="2"/>
      </rPr>
      <t>×360</t>
    </r>
    <r>
      <rPr>
        <sz val="10"/>
        <color indexed="63"/>
        <rFont val="宋体"/>
        <family val="0"/>
      </rPr>
      <t>天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0"/>
      </rPr>
      <t>销售收入。</t>
    </r>
    <r>
      <rPr>
        <sz val="10"/>
        <color indexed="63"/>
        <rFont val="Arial"/>
        <family val="2"/>
      </rPr>
      <t xml:space="preserve"> 
</t>
    </r>
  </si>
  <si>
    <r>
      <rPr>
        <sz val="10"/>
        <color indexed="63"/>
        <rFont val="宋体"/>
        <family val="0"/>
      </rPr>
      <t>应付帐款周转天数</t>
    </r>
    <r>
      <rPr>
        <sz val="10"/>
        <color indexed="63"/>
        <rFont val="Arial"/>
        <family val="2"/>
      </rPr>
      <t xml:space="preserve"> (</t>
    </r>
    <r>
      <rPr>
        <sz val="10"/>
        <color indexed="63"/>
        <rFont val="宋体"/>
        <family val="0"/>
      </rPr>
      <t>按年计</t>
    </r>
    <r>
      <rPr>
        <sz val="10"/>
        <color indexed="63"/>
        <rFont val="Arial"/>
        <family val="2"/>
      </rPr>
      <t xml:space="preserve">)
</t>
    </r>
    <r>
      <rPr>
        <sz val="10"/>
        <color indexed="63"/>
        <rFont val="宋体"/>
        <family val="0"/>
      </rPr>
      <t>平均应付账款</t>
    </r>
    <r>
      <rPr>
        <sz val="10"/>
        <color indexed="63"/>
        <rFont val="Arial"/>
        <family val="2"/>
      </rPr>
      <t>×360</t>
    </r>
    <r>
      <rPr>
        <sz val="10"/>
        <color indexed="63"/>
        <rFont val="宋体"/>
        <family val="0"/>
      </rPr>
      <t>天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0"/>
      </rPr>
      <t>营业成本。</t>
    </r>
    <r>
      <rPr>
        <sz val="10"/>
        <color indexed="63"/>
        <rFont val="Arial"/>
        <family val="2"/>
      </rPr>
      <t xml:space="preserve"> </t>
    </r>
  </si>
  <si>
    <r>
      <rPr>
        <sz val="10"/>
        <color indexed="63"/>
        <rFont val="宋体"/>
        <family val="0"/>
      </rPr>
      <t>存货周转天数</t>
    </r>
    <r>
      <rPr>
        <sz val="10"/>
        <color indexed="63"/>
        <rFont val="Arial"/>
        <family val="2"/>
      </rPr>
      <t xml:space="preserve"> (</t>
    </r>
    <r>
      <rPr>
        <sz val="10"/>
        <color indexed="63"/>
        <rFont val="宋体"/>
        <family val="0"/>
      </rPr>
      <t>按年计</t>
    </r>
    <r>
      <rPr>
        <sz val="10"/>
        <color indexed="63"/>
        <rFont val="Arial"/>
        <family val="2"/>
      </rPr>
      <t>)
)(360*</t>
    </r>
    <r>
      <rPr>
        <sz val="10"/>
        <color indexed="63"/>
        <rFont val="宋体"/>
        <family val="0"/>
      </rPr>
      <t>存货平均余额</t>
    </r>
    <r>
      <rPr>
        <sz val="10"/>
        <color indexed="63"/>
        <rFont val="Arial"/>
        <family val="2"/>
      </rPr>
      <t>)/</t>
    </r>
    <r>
      <rPr>
        <sz val="10"/>
        <color indexed="63"/>
        <rFont val="宋体"/>
        <family val="0"/>
      </rPr>
      <t>销售成本</t>
    </r>
  </si>
  <si>
    <t>核对10年数据</t>
  </si>
  <si>
    <t>不含其它应收款</t>
  </si>
  <si>
    <t>Interest</t>
  </si>
  <si>
    <t>Tax</t>
  </si>
  <si>
    <t>interest income</t>
  </si>
  <si>
    <t>interest expense</t>
  </si>
  <si>
    <t>EBIT</t>
  </si>
  <si>
    <t>Depreciation</t>
  </si>
  <si>
    <t>Amortisation</t>
  </si>
  <si>
    <t>EBITDA</t>
  </si>
  <si>
    <t xml:space="preserve">  </t>
  </si>
  <si>
    <r>
      <t>2012</t>
    </r>
    <r>
      <rPr>
        <b/>
        <sz val="9"/>
        <color indexed="23"/>
        <rFont val="宋体"/>
        <family val="0"/>
      </rPr>
      <t>年度</t>
    </r>
  </si>
  <si>
    <t>FY2012</t>
  </si>
  <si>
    <t>FY2012</t>
  </si>
  <si>
    <r>
      <t>2012</t>
    </r>
    <r>
      <rPr>
        <b/>
        <sz val="9"/>
        <color indexed="23"/>
        <rFont val="宋体"/>
        <family val="0"/>
      </rPr>
      <t>年度</t>
    </r>
  </si>
  <si>
    <t>FY2012</t>
  </si>
  <si>
    <r>
      <t>2013</t>
    </r>
    <r>
      <rPr>
        <b/>
        <sz val="9"/>
        <color indexed="23"/>
        <rFont val="宋体"/>
        <family val="0"/>
      </rPr>
      <t>年度</t>
    </r>
  </si>
  <si>
    <t>2013年度</t>
  </si>
  <si>
    <t>FY2013</t>
  </si>
  <si>
    <t>FY2013</t>
  </si>
  <si>
    <t>2013年度</t>
  </si>
  <si>
    <r>
      <t>2013</t>
    </r>
    <r>
      <rPr>
        <b/>
        <sz val="9"/>
        <color indexed="23"/>
        <rFont val="宋体"/>
        <family val="0"/>
      </rPr>
      <t>年度</t>
    </r>
  </si>
  <si>
    <t>FY2013</t>
  </si>
  <si>
    <t>2011-1H</t>
  </si>
  <si>
    <r>
      <t>2017年度</t>
    </r>
  </si>
  <si>
    <r>
      <t>2016年度</t>
    </r>
  </si>
  <si>
    <r>
      <t>2015年度</t>
    </r>
  </si>
  <si>
    <r>
      <t>2014年度</t>
    </r>
  </si>
  <si>
    <t>2016年度</t>
  </si>
  <si>
    <t>2017年度</t>
  </si>
  <si>
    <t>2014年度</t>
  </si>
  <si>
    <t>FY2017</t>
  </si>
  <si>
    <t>FY2016</t>
  </si>
  <si>
    <t>FY2015</t>
  </si>
  <si>
    <t>FY2014</t>
  </si>
  <si>
    <r>
      <t>2018</t>
    </r>
    <r>
      <rPr>
        <b/>
        <sz val="9"/>
        <color indexed="23"/>
        <rFont val="宋体"/>
        <family val="0"/>
      </rPr>
      <t>年度</t>
    </r>
  </si>
  <si>
    <t>FY2018</t>
  </si>
  <si>
    <r>
      <t>2018</t>
    </r>
    <r>
      <rPr>
        <b/>
        <sz val="9"/>
        <color indexed="23"/>
        <rFont val="宋体"/>
        <family val="0"/>
      </rPr>
      <t>年度</t>
    </r>
  </si>
  <si>
    <t>FY2018</t>
  </si>
  <si>
    <r>
      <t>2020年度</t>
    </r>
  </si>
  <si>
    <r>
      <t>2019年度</t>
    </r>
  </si>
  <si>
    <t>FY2019</t>
  </si>
  <si>
    <t>FY2020</t>
  </si>
  <si>
    <t>2019年度</t>
  </si>
  <si>
    <r>
      <t>2021</t>
    </r>
    <r>
      <rPr>
        <b/>
        <sz val="9"/>
        <color indexed="23"/>
        <rFont val="宋体"/>
        <family val="0"/>
      </rPr>
      <t>年度</t>
    </r>
  </si>
  <si>
    <r>
      <t>2021</t>
    </r>
    <r>
      <rPr>
        <b/>
        <sz val="9"/>
        <color indexed="23"/>
        <rFont val="宋体"/>
        <family val="0"/>
      </rPr>
      <t>年度</t>
    </r>
  </si>
  <si>
    <r>
      <t>2021</t>
    </r>
    <r>
      <rPr>
        <b/>
        <sz val="9"/>
        <color indexed="23"/>
        <rFont val="宋体"/>
        <family val="0"/>
      </rPr>
      <t>年度</t>
    </r>
  </si>
  <si>
    <t>FY2021</t>
  </si>
  <si>
    <t>FY2021</t>
  </si>
  <si>
    <r>
      <t>2022</t>
    </r>
    <r>
      <rPr>
        <b/>
        <sz val="9"/>
        <color indexed="23"/>
        <rFont val="宋体"/>
        <family val="0"/>
      </rPr>
      <t>年度</t>
    </r>
  </si>
  <si>
    <r>
      <t>2022</t>
    </r>
    <r>
      <rPr>
        <b/>
        <sz val="9"/>
        <color indexed="23"/>
        <rFont val="宋体"/>
        <family val="0"/>
      </rPr>
      <t>年度</t>
    </r>
  </si>
  <si>
    <t>FY2022</t>
  </si>
  <si>
    <t>FY2022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</si>
</sst>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&quot;HK$&quot;#,##0_);\(&quot;HK$&quot;#,##0\)"/>
    <numFmt numFmtId="195" formatCode="&quot;HK$&quot;#,##0_);[Red]\(&quot;HK$&quot;#,##0\)"/>
    <numFmt numFmtId="196" formatCode="&quot;HK$&quot;#,##0.00_);\(&quot;HK$&quot;#,##0.00\)"/>
    <numFmt numFmtId="197" formatCode="&quot;HK$&quot;#,##0.00_);[Red]\(&quot;HK$&quot;#,##0.00\)"/>
    <numFmt numFmtId="198" formatCode="_(&quot;HK$&quot;* #,##0_);_(&quot;HK$&quot;* \(#,##0\);_(&quot;HK$&quot;* &quot;-&quot;_);_(@_)"/>
    <numFmt numFmtId="199" formatCode="_(* #,##0_);_(* \(#,##0\);_(* &quot;-&quot;_);_(@_)"/>
    <numFmt numFmtId="200" formatCode="_(&quot;HK$&quot;* #,##0.00_);_(&quot;HK$&quot;* \(#,##0.00\);_(&quot;HK$&quot;* &quot;-&quot;??_);_(@_)"/>
    <numFmt numFmtId="201" formatCode="_(* #,##0.00_);_(* \(#,##0.00\);_(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  <numFmt numFmtId="208" formatCode="_(* #,##0.000_);_(* \(#,##0.000\);_(* &quot;-&quot;??_);_(@_)"/>
    <numFmt numFmtId="209" formatCode="0.0%"/>
    <numFmt numFmtId="210" formatCode="[$-404]AM/PM\ hh:mm:ss"/>
    <numFmt numFmtId="211" formatCode="0.0"/>
    <numFmt numFmtId="212" formatCode="_(* #,##0_)&quot;days&quot;;_(* \(#,##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#,##0_);\(#,##0\)"/>
    <numFmt numFmtId="216" formatCode="0_);\(0\)"/>
    <numFmt numFmtId="217" formatCode="0.0000000_ "/>
    <numFmt numFmtId="218" formatCode="0.000000_ "/>
    <numFmt numFmtId="219" formatCode="0.00000_ "/>
    <numFmt numFmtId="220" formatCode="0.0000_ "/>
    <numFmt numFmtId="221" formatCode="0.000_ "/>
    <numFmt numFmtId="222" formatCode="0.00_ "/>
    <numFmt numFmtId="223" formatCode="0.0_ "/>
    <numFmt numFmtId="224" formatCode="0_ "/>
  </numFmts>
  <fonts count="38">
    <font>
      <sz val="12"/>
      <color indexed="8"/>
      <name val="Calibri"/>
      <family val="2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宋体"/>
      <family val="0"/>
    </font>
    <font>
      <sz val="9"/>
      <color indexed="8"/>
      <name val="宋体"/>
      <family val="0"/>
    </font>
    <font>
      <sz val="10"/>
      <color indexed="63"/>
      <name val="Arial"/>
      <family val="2"/>
    </font>
    <font>
      <sz val="12"/>
      <color indexed="8"/>
      <name val="宋体"/>
      <family val="0"/>
    </font>
    <font>
      <b/>
      <sz val="9"/>
      <color indexed="8"/>
      <name val="Arial"/>
      <family val="2"/>
    </font>
    <font>
      <b/>
      <sz val="9"/>
      <name val="宋体"/>
      <family val="0"/>
    </font>
    <font>
      <sz val="10"/>
      <color indexed="63"/>
      <name val="宋体"/>
      <family val="0"/>
    </font>
    <font>
      <b/>
      <sz val="12"/>
      <color indexed="8"/>
      <name val="Calibri"/>
      <family val="2"/>
    </font>
    <font>
      <b/>
      <sz val="10"/>
      <color indexed="63"/>
      <name val="Arial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sz val="12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4" applyNumberFormat="0" applyFill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8" fillId="23" borderId="0" xfId="0" applyFont="1" applyFill="1" applyAlignment="1">
      <alignment horizontal="left" vertical="top" wrapText="1"/>
    </xf>
    <xf numFmtId="207" fontId="8" fillId="23" borderId="0" xfId="49" applyNumberFormat="1" applyFont="1" applyFill="1" applyAlignment="1">
      <alignment horizontal="right" vertical="top" wrapText="1"/>
    </xf>
    <xf numFmtId="207" fontId="0" fillId="0" borderId="0" xfId="49" applyNumberFormat="1" applyFont="1" applyAlignment="1">
      <alignment vertical="center"/>
    </xf>
    <xf numFmtId="209" fontId="0" fillId="0" borderId="0" xfId="33" applyNumberFormat="1" applyFont="1" applyAlignment="1">
      <alignment vertical="center"/>
    </xf>
    <xf numFmtId="208" fontId="0" fillId="0" borderId="0" xfId="49" applyNumberFormat="1" applyFont="1" applyAlignment="1">
      <alignment horizontal="center" vertical="center"/>
    </xf>
    <xf numFmtId="9" fontId="0" fillId="0" borderId="0" xfId="33" applyNumberFormat="1" applyFont="1" applyAlignment="1">
      <alignment horizontal="center" vertical="center"/>
    </xf>
    <xf numFmtId="49" fontId="3" fillId="0" borderId="0" xfId="49" applyNumberFormat="1" applyFont="1" applyAlignment="1">
      <alignment/>
    </xf>
    <xf numFmtId="211" fontId="0" fillId="0" borderId="0" xfId="33" applyNumberFormat="1" applyFont="1" applyAlignment="1">
      <alignment vertical="center"/>
    </xf>
    <xf numFmtId="49" fontId="3" fillId="0" borderId="0" xfId="49" applyNumberFormat="1" applyFont="1" applyAlignment="1">
      <alignment horizontal="left"/>
    </xf>
    <xf numFmtId="209" fontId="3" fillId="0" borderId="0" xfId="33" applyNumberFormat="1" applyFont="1" applyBorder="1" applyAlignment="1">
      <alignment horizontal="left"/>
    </xf>
    <xf numFmtId="207" fontId="8" fillId="0" borderId="0" xfId="49" applyNumberFormat="1" applyFont="1" applyFill="1" applyAlignment="1">
      <alignment horizontal="right" vertical="top" wrapText="1"/>
    </xf>
    <xf numFmtId="0" fontId="8" fillId="23" borderId="0" xfId="0" applyFont="1" applyFill="1" applyAlignment="1">
      <alignment horizontal="left" vertical="top" shrinkToFit="1"/>
    </xf>
    <xf numFmtId="0" fontId="9" fillId="0" borderId="0" xfId="0" applyFont="1" applyAlignment="1">
      <alignment vertical="center"/>
    </xf>
    <xf numFmtId="207" fontId="9" fillId="0" borderId="0" xfId="49" applyNumberFormat="1" applyFont="1" applyAlignment="1">
      <alignment vertical="center"/>
    </xf>
    <xf numFmtId="49" fontId="5" fillId="0" borderId="0" xfId="49" applyNumberFormat="1" applyFont="1" applyAlignment="1">
      <alignment/>
    </xf>
    <xf numFmtId="49" fontId="4" fillId="0" borderId="0" xfId="49" applyNumberFormat="1" applyFont="1" applyAlignment="1">
      <alignment horizontal="left" indent="1"/>
    </xf>
    <xf numFmtId="49" fontId="4" fillId="0" borderId="0" xfId="49" applyNumberFormat="1" applyFont="1" applyAlignment="1">
      <alignment/>
    </xf>
    <xf numFmtId="49" fontId="5" fillId="0" borderId="10" xfId="49" applyNumberFormat="1" applyFont="1" applyBorder="1" applyAlignment="1">
      <alignment/>
    </xf>
    <xf numFmtId="49" fontId="4" fillId="0" borderId="0" xfId="49" applyNumberFormat="1" applyFont="1" applyBorder="1" applyAlignment="1">
      <alignment/>
    </xf>
    <xf numFmtId="49" fontId="4" fillId="0" borderId="0" xfId="49" applyNumberFormat="1" applyFont="1" applyAlignment="1">
      <alignment shrinkToFit="1"/>
    </xf>
    <xf numFmtId="0" fontId="10" fillId="0" borderId="0" xfId="0" applyFont="1" applyBorder="1" applyAlignment="1">
      <alignment vertical="center"/>
    </xf>
    <xf numFmtId="49" fontId="4" fillId="0" borderId="0" xfId="49" applyNumberFormat="1" applyFont="1" applyAlignment="1">
      <alignment horizontal="left"/>
    </xf>
    <xf numFmtId="209" fontId="4" fillId="0" borderId="0" xfId="33" applyNumberFormat="1" applyFont="1" applyBorder="1" applyAlignment="1">
      <alignment horizontal="left"/>
    </xf>
    <xf numFmtId="0" fontId="10" fillId="0" borderId="0" xfId="0" applyFont="1" applyAlignment="1">
      <alignment vertical="center"/>
    </xf>
    <xf numFmtId="207" fontId="10" fillId="0" borderId="0" xfId="49" applyNumberFormat="1" applyFont="1" applyAlignment="1">
      <alignment vertical="center"/>
    </xf>
    <xf numFmtId="201" fontId="10" fillId="0" borderId="0" xfId="49" applyNumberFormat="1" applyFont="1" applyAlignment="1">
      <alignment vertical="center"/>
    </xf>
    <xf numFmtId="208" fontId="10" fillId="0" borderId="0" xfId="49" applyNumberFormat="1" applyFont="1" applyAlignment="1">
      <alignment vertical="center"/>
    </xf>
    <xf numFmtId="209" fontId="10" fillId="0" borderId="0" xfId="33" applyNumberFormat="1" applyFont="1" applyAlignment="1">
      <alignment vertical="center"/>
    </xf>
    <xf numFmtId="3" fontId="10" fillId="0" borderId="0" xfId="49" applyNumberFormat="1" applyFont="1" applyAlignment="1">
      <alignment horizontal="right" vertical="center"/>
    </xf>
    <xf numFmtId="3" fontId="10" fillId="0" borderId="0" xfId="49" applyNumberFormat="1" applyFont="1" applyAlignment="1">
      <alignment vertical="center"/>
    </xf>
    <xf numFmtId="3" fontId="10" fillId="0" borderId="0" xfId="49" applyNumberFormat="1" applyFont="1" applyAlignment="1">
      <alignment horizontal="center" vertical="center"/>
    </xf>
    <xf numFmtId="211" fontId="10" fillId="0" borderId="0" xfId="33" applyNumberFormat="1" applyFont="1" applyAlignment="1">
      <alignment vertical="center"/>
    </xf>
    <xf numFmtId="3" fontId="10" fillId="0" borderId="0" xfId="49" applyNumberFormat="1" applyFont="1" applyAlignment="1">
      <alignment vertical="center"/>
    </xf>
    <xf numFmtId="3" fontId="10" fillId="0" borderId="0" xfId="49" applyNumberFormat="1" applyFont="1" applyFill="1" applyAlignment="1">
      <alignment vertical="center"/>
    </xf>
    <xf numFmtId="209" fontId="10" fillId="0" borderId="0" xfId="49" applyNumberFormat="1" applyFont="1" applyFill="1" applyAlignment="1">
      <alignment vertical="center"/>
    </xf>
    <xf numFmtId="37" fontId="4" fillId="0" borderId="0" xfId="49" applyNumberFormat="1" applyFont="1" applyAlignment="1">
      <alignment horizontal="right"/>
    </xf>
    <xf numFmtId="199" fontId="4" fillId="0" borderId="0" xfId="49" applyNumberFormat="1" applyFont="1" applyAlignment="1">
      <alignment horizontal="right"/>
    </xf>
    <xf numFmtId="199" fontId="4" fillId="0" borderId="10" xfId="49" applyNumberFormat="1" applyFont="1" applyBorder="1" applyAlignment="1">
      <alignment horizontal="right"/>
    </xf>
    <xf numFmtId="209" fontId="4" fillId="0" borderId="0" xfId="33" applyNumberFormat="1" applyFont="1" applyAlignment="1">
      <alignment horizontal="right"/>
    </xf>
    <xf numFmtId="209" fontId="4" fillId="0" borderId="10" xfId="33" applyNumberFormat="1" applyFont="1" applyBorder="1" applyAlignment="1">
      <alignment horizontal="right"/>
    </xf>
    <xf numFmtId="0" fontId="0" fillId="0" borderId="0" xfId="0" applyFill="1" applyBorder="1" applyAlignment="1">
      <alignment vertical="center"/>
    </xf>
    <xf numFmtId="209" fontId="4" fillId="0" borderId="0" xfId="33" applyNumberFormat="1" applyFont="1" applyFill="1" applyAlignment="1">
      <alignment horizontal="left" indent="1"/>
    </xf>
    <xf numFmtId="209" fontId="10" fillId="0" borderId="0" xfId="49" applyNumberFormat="1" applyFont="1" applyFill="1" applyAlignment="1">
      <alignment horizontal="right" vertical="center"/>
    </xf>
    <xf numFmtId="209" fontId="10" fillId="0" borderId="0" xfId="49" applyNumberFormat="1" applyFont="1" applyFill="1" applyAlignment="1">
      <alignment vertical="center"/>
    </xf>
    <xf numFmtId="209" fontId="4" fillId="0" borderId="0" xfId="33" applyNumberFormat="1" applyFont="1" applyFill="1" applyBorder="1" applyAlignment="1">
      <alignment horizontal="left" indent="1"/>
    </xf>
    <xf numFmtId="0" fontId="10" fillId="0" borderId="0" xfId="0" applyFont="1" applyFill="1" applyAlignment="1">
      <alignment vertical="center"/>
    </xf>
    <xf numFmtId="9" fontId="10" fillId="0" borderId="0" xfId="33" applyNumberFormat="1" applyFont="1" applyAlignment="1">
      <alignment horizontal="right" vertical="center"/>
    </xf>
    <xf numFmtId="9" fontId="0" fillId="0" borderId="0" xfId="33" applyFont="1" applyAlignment="1">
      <alignment vertical="center"/>
    </xf>
    <xf numFmtId="44" fontId="0" fillId="0" borderId="0" xfId="0" applyNumberFormat="1" applyAlignment="1">
      <alignment vertical="center"/>
    </xf>
    <xf numFmtId="215" fontId="10" fillId="0" borderId="0" xfId="49" applyNumberFormat="1" applyFont="1" applyAlignment="1">
      <alignment horizontal="right" vertical="center"/>
    </xf>
    <xf numFmtId="215" fontId="10" fillId="0" borderId="0" xfId="49" applyNumberFormat="1" applyFont="1" applyAlignment="1">
      <alignment vertical="center"/>
    </xf>
    <xf numFmtId="215" fontId="10" fillId="0" borderId="0" xfId="49" applyNumberFormat="1" applyFont="1" applyFill="1" applyBorder="1" applyAlignment="1">
      <alignment horizontal="right" vertical="center"/>
    </xf>
    <xf numFmtId="0" fontId="11" fillId="23" borderId="0" xfId="0" applyFont="1" applyFill="1" applyAlignment="1">
      <alignment horizontal="left" vertical="top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9" fillId="0" borderId="0" xfId="0" applyFont="1" applyAlignment="1">
      <alignment vertical="center"/>
    </xf>
    <xf numFmtId="207" fontId="10" fillId="0" borderId="0" xfId="49" applyNumberFormat="1" applyFont="1" applyFill="1" applyAlignment="1">
      <alignment vertical="center"/>
    </xf>
    <xf numFmtId="207" fontId="0" fillId="0" borderId="0" xfId="49" applyNumberFormat="1" applyFont="1" applyAlignment="1">
      <alignment vertical="center"/>
    </xf>
    <xf numFmtId="207" fontId="10" fillId="0" borderId="0" xfId="0" applyNumberFormat="1" applyFont="1" applyAlignment="1">
      <alignment vertical="center"/>
    </xf>
    <xf numFmtId="207" fontId="15" fillId="0" borderId="0" xfId="49" applyNumberFormat="1" applyFont="1" applyFill="1" applyAlignment="1">
      <alignment vertical="center"/>
    </xf>
    <xf numFmtId="0" fontId="8" fillId="23" borderId="0" xfId="0" applyFont="1" applyFill="1" applyAlignment="1">
      <alignment horizontal="right" vertical="top" wrapText="1"/>
    </xf>
    <xf numFmtId="207" fontId="8" fillId="20" borderId="0" xfId="49" applyNumberFormat="1" applyFont="1" applyFill="1" applyAlignment="1">
      <alignment horizontal="right" vertical="top" wrapText="1"/>
    </xf>
    <xf numFmtId="0" fontId="13" fillId="0" borderId="0" xfId="0" applyFont="1" applyAlignment="1">
      <alignment vertical="center" wrapText="1"/>
    </xf>
    <xf numFmtId="224" fontId="10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207" fontId="0" fillId="0" borderId="0" xfId="0" applyNumberFormat="1" applyAlignment="1">
      <alignment vertical="center"/>
    </xf>
    <xf numFmtId="206" fontId="10" fillId="0" borderId="0" xfId="49" applyNumberFormat="1" applyFont="1" applyAlignment="1">
      <alignment vertical="center"/>
    </xf>
    <xf numFmtId="207" fontId="8" fillId="23" borderId="0" xfId="49" applyNumberFormat="1" applyFont="1" applyFill="1" applyAlignment="1">
      <alignment horizontal="left" vertical="top" wrapText="1"/>
    </xf>
    <xf numFmtId="207" fontId="12" fillId="0" borderId="0" xfId="49" applyNumberFormat="1" applyFont="1" applyAlignment="1">
      <alignment vertical="center"/>
    </xf>
    <xf numFmtId="207" fontId="4" fillId="0" borderId="0" xfId="49" applyNumberFormat="1" applyFont="1" applyFill="1" applyAlignment="1">
      <alignment vertical="center"/>
    </xf>
    <xf numFmtId="207" fontId="8" fillId="0" borderId="0" xfId="49" applyNumberFormat="1" applyFont="1" applyFill="1" applyAlignment="1">
      <alignment horizontal="left" vertical="top" wrapText="1"/>
    </xf>
    <xf numFmtId="207" fontId="13" fillId="0" borderId="0" xfId="49" applyNumberFormat="1" applyFont="1" applyAlignment="1">
      <alignment vertical="center"/>
    </xf>
    <xf numFmtId="207" fontId="13" fillId="24" borderId="0" xfId="49" applyNumberFormat="1" applyFont="1" applyFill="1" applyAlignment="1">
      <alignment horizontal="left" vertical="top" wrapText="1"/>
    </xf>
    <xf numFmtId="209" fontId="10" fillId="4" borderId="0" xfId="49" applyNumberFormat="1" applyFont="1" applyFill="1" applyAlignment="1">
      <alignment vertical="center"/>
    </xf>
    <xf numFmtId="224" fontId="10" fillId="4" borderId="0" xfId="0" applyNumberFormat="1" applyFont="1" applyFill="1" applyAlignment="1">
      <alignment vertical="center"/>
    </xf>
    <xf numFmtId="201" fontId="9" fillId="0" borderId="0" xfId="49" applyFont="1" applyAlignment="1">
      <alignment vertical="center"/>
    </xf>
    <xf numFmtId="201" fontId="0" fillId="0" borderId="0" xfId="49" applyFont="1" applyAlignment="1">
      <alignment vertical="center"/>
    </xf>
    <xf numFmtId="201" fontId="8" fillId="23" borderId="0" xfId="49" applyFont="1" applyFill="1" applyAlignment="1">
      <alignment horizontal="left" vertical="top" wrapText="1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207" fontId="15" fillId="0" borderId="0" xfId="49" applyNumberFormat="1" applyFont="1" applyAlignment="1">
      <alignment vertical="center"/>
    </xf>
    <xf numFmtId="207" fontId="15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07" fontId="11" fillId="23" borderId="0" xfId="49" applyNumberFormat="1" applyFont="1" applyFill="1" applyAlignment="1">
      <alignment horizontal="left" vertical="top" wrapText="1"/>
    </xf>
    <xf numFmtId="207" fontId="12" fillId="4" borderId="0" xfId="49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207" fontId="0" fillId="0" borderId="0" xfId="49" applyNumberFormat="1" applyFont="1" applyFill="1" applyAlignment="1">
      <alignment vertical="center"/>
    </xf>
    <xf numFmtId="207" fontId="13" fillId="4" borderId="0" xfId="49" applyNumberFormat="1" applyFont="1" applyFill="1" applyAlignment="1">
      <alignment vertical="center"/>
    </xf>
    <xf numFmtId="207" fontId="13" fillId="4" borderId="0" xfId="49" applyNumberFormat="1" applyFont="1" applyFill="1" applyAlignment="1">
      <alignment horizontal="left" vertical="top" wrapText="1"/>
    </xf>
    <xf numFmtId="215" fontId="10" fillId="0" borderId="0" xfId="49" applyNumberFormat="1" applyFont="1" applyFill="1" applyAlignment="1">
      <alignment vertical="center"/>
    </xf>
    <xf numFmtId="206" fontId="10" fillId="4" borderId="0" xfId="49" applyNumberFormat="1" applyFont="1" applyFill="1" applyAlignment="1">
      <alignment vertical="center"/>
    </xf>
    <xf numFmtId="209" fontId="10" fillId="4" borderId="0" xfId="33" applyNumberFormat="1" applyFont="1" applyFill="1" applyAlignment="1">
      <alignment vertical="center"/>
    </xf>
    <xf numFmtId="207" fontId="15" fillId="4" borderId="0" xfId="49" applyNumberFormat="1" applyFont="1" applyFill="1" applyAlignment="1">
      <alignment vertical="center"/>
    </xf>
    <xf numFmtId="213" fontId="10" fillId="4" borderId="0" xfId="49" applyNumberFormat="1" applyFont="1" applyFill="1" applyAlignment="1">
      <alignment vertical="center"/>
    </xf>
    <xf numFmtId="207" fontId="12" fillId="0" borderId="0" xfId="49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07" fontId="10" fillId="0" borderId="0" xfId="0" applyNumberFormat="1" applyFont="1" applyFill="1" applyAlignment="1">
      <alignment vertical="center"/>
    </xf>
    <xf numFmtId="201" fontId="10" fillId="0" borderId="0" xfId="49" applyNumberFormat="1" applyFont="1" applyFill="1" applyAlignment="1">
      <alignment horizontal="center" vertical="center"/>
    </xf>
    <xf numFmtId="213" fontId="10" fillId="0" borderId="0" xfId="49" applyNumberFormat="1" applyFont="1" applyFill="1" applyAlignment="1">
      <alignment vertical="center"/>
    </xf>
    <xf numFmtId="207" fontId="21" fillId="0" borderId="0" xfId="0" applyNumberFormat="1" applyFont="1" applyFill="1" applyAlignment="1">
      <alignment vertical="center"/>
    </xf>
    <xf numFmtId="207" fontId="15" fillId="0" borderId="0" xfId="0" applyNumberFormat="1" applyFont="1" applyFill="1" applyAlignment="1">
      <alignment vertical="center"/>
    </xf>
    <xf numFmtId="9" fontId="10" fillId="4" borderId="0" xfId="33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207" fontId="0" fillId="0" borderId="0" xfId="0" applyNumberFormat="1" applyFill="1" applyAlignment="1">
      <alignment vertical="center"/>
    </xf>
    <xf numFmtId="201" fontId="8" fillId="0" borderId="0" xfId="49" applyFont="1" applyFill="1" applyAlignment="1">
      <alignment horizontal="left" vertical="top" wrapText="1"/>
    </xf>
    <xf numFmtId="201" fontId="10" fillId="0" borderId="0" xfId="49" applyFont="1" applyAlignment="1">
      <alignment vertical="center"/>
    </xf>
    <xf numFmtId="199" fontId="4" fillId="4" borderId="0" xfId="49" applyNumberFormat="1" applyFont="1" applyFill="1" applyAlignment="1">
      <alignment horizontal="right"/>
    </xf>
    <xf numFmtId="199" fontId="4" fillId="4" borderId="10" xfId="49" applyNumberFormat="1" applyFont="1" applyFill="1" applyBorder="1" applyAlignment="1">
      <alignment horizontal="right"/>
    </xf>
    <xf numFmtId="209" fontId="4" fillId="4" borderId="0" xfId="33" applyNumberFormat="1" applyFont="1" applyFill="1" applyAlignment="1">
      <alignment horizontal="right"/>
    </xf>
    <xf numFmtId="209" fontId="4" fillId="4" borderId="10" xfId="33" applyNumberFormat="1" applyFont="1" applyFill="1" applyBorder="1" applyAlignment="1">
      <alignment horizontal="right"/>
    </xf>
    <xf numFmtId="209" fontId="4" fillId="25" borderId="0" xfId="33" applyNumberFormat="1" applyFont="1" applyFill="1" applyAlignment="1">
      <alignment horizontal="right"/>
    </xf>
    <xf numFmtId="207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D46"/>
  <sheetViews>
    <sheetView tabSelected="1" zoomScalePageLayoutView="0" workbookViewId="0" topLeftCell="B1">
      <pane xSplit="2" ySplit="6" topLeftCell="D10" activePane="bottomRight" state="frozen"/>
      <selection pane="topLeft" activeCell="B1" sqref="B1"/>
      <selection pane="topRight" activeCell="D1" sqref="D1"/>
      <selection pane="bottomLeft" activeCell="B7" sqref="B7"/>
      <selection pane="bottomRight" activeCell="E27" sqref="E27"/>
    </sheetView>
  </sheetViews>
  <sheetFormatPr defaultColWidth="9.00390625" defaultRowHeight="15.75"/>
  <cols>
    <col min="1" max="1" width="3.00390625" style="0" customWidth="1"/>
    <col min="2" max="2" width="23.50390625" style="0" customWidth="1"/>
    <col min="3" max="3" width="25.125" style="0" customWidth="1"/>
    <col min="4" max="12" width="11.125" style="0" customWidth="1"/>
    <col min="13" max="13" width="11.125" style="79" customWidth="1"/>
    <col min="14" max="14" width="11.00390625" style="60" customWidth="1"/>
    <col min="15" max="15" width="11.75390625" style="0" customWidth="1"/>
    <col min="16" max="16" width="9.875" style="0" customWidth="1"/>
    <col min="17" max="17" width="11.50390625" style="3" bestFit="1" customWidth="1"/>
    <col min="18" max="20" width="9.875" style="3" bestFit="1" customWidth="1"/>
    <col min="21" max="21" width="9.375" style="3" bestFit="1" customWidth="1"/>
  </cols>
  <sheetData>
    <row r="1" spans="1:16" ht="15" customHeight="1">
      <c r="A1" s="13" t="s">
        <v>23</v>
      </c>
      <c r="B1" s="106"/>
      <c r="C1" s="106"/>
      <c r="D1" s="106"/>
      <c r="E1" s="106"/>
      <c r="F1" s="106"/>
      <c r="G1" s="106"/>
      <c r="H1" s="115"/>
      <c r="I1" s="106"/>
      <c r="J1" s="106"/>
      <c r="K1" s="106"/>
      <c r="L1" s="106"/>
      <c r="M1" s="78"/>
      <c r="N1" s="14"/>
      <c r="O1" s="13"/>
      <c r="P1" s="13"/>
    </row>
    <row r="2" spans="13:21" s="13" customFormat="1" ht="3.75" customHeight="1">
      <c r="M2" s="78"/>
      <c r="N2" s="14"/>
      <c r="Q2" s="14"/>
      <c r="R2" s="14"/>
      <c r="S2" s="14"/>
      <c r="T2" s="14"/>
      <c r="U2" s="14"/>
    </row>
    <row r="3" spans="17:19" ht="12.75" customHeight="1">
      <c r="Q3" s="60" t="s">
        <v>139</v>
      </c>
      <c r="S3" s="60" t="s">
        <v>140</v>
      </c>
    </row>
    <row r="4" ht="6" customHeight="1"/>
    <row r="5" spans="2:21" ht="15.75">
      <c r="B5" s="1" t="s">
        <v>83</v>
      </c>
      <c r="C5" s="1"/>
      <c r="D5" s="1"/>
      <c r="E5" s="1"/>
      <c r="F5" s="1"/>
      <c r="G5" s="1"/>
      <c r="H5" s="1"/>
      <c r="I5" s="1"/>
      <c r="J5" s="1"/>
      <c r="K5" s="1"/>
      <c r="L5" s="1"/>
      <c r="M5" s="80"/>
      <c r="N5" s="70"/>
      <c r="O5" s="1"/>
      <c r="P5" s="1" t="s">
        <v>70</v>
      </c>
      <c r="Q5" s="2" t="s">
        <v>71</v>
      </c>
      <c r="R5" s="2" t="s">
        <v>72</v>
      </c>
      <c r="S5" s="2" t="s">
        <v>20</v>
      </c>
      <c r="T5" s="2" t="s">
        <v>21</v>
      </c>
      <c r="U5" s="2" t="s">
        <v>73</v>
      </c>
    </row>
    <row r="6" spans="2:21" ht="15" customHeight="1">
      <c r="B6" s="1" t="s">
        <v>66</v>
      </c>
      <c r="C6" s="53" t="s">
        <v>86</v>
      </c>
      <c r="D6" s="1" t="s">
        <v>199</v>
      </c>
      <c r="E6" s="1" t="s">
        <v>194</v>
      </c>
      <c r="F6" s="1" t="s">
        <v>189</v>
      </c>
      <c r="G6" s="1" t="s">
        <v>190</v>
      </c>
      <c r="H6" s="1" t="s">
        <v>185</v>
      </c>
      <c r="I6" s="1" t="s">
        <v>174</v>
      </c>
      <c r="J6" s="1" t="s">
        <v>175</v>
      </c>
      <c r="K6" s="1" t="s">
        <v>176</v>
      </c>
      <c r="L6" s="1" t="s">
        <v>177</v>
      </c>
      <c r="M6" s="1" t="s">
        <v>166</v>
      </c>
      <c r="N6" s="1" t="s">
        <v>161</v>
      </c>
      <c r="O6" s="1" t="s">
        <v>87</v>
      </c>
      <c r="P6" s="1" t="s">
        <v>22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</row>
    <row r="7" spans="2:27" ht="15.75">
      <c r="B7" s="24" t="s">
        <v>2</v>
      </c>
      <c r="C7" s="54" t="s">
        <v>88</v>
      </c>
      <c r="D7" s="87">
        <v>6195175</v>
      </c>
      <c r="E7" s="87">
        <v>6530905</v>
      </c>
      <c r="F7" s="87">
        <v>9278864</v>
      </c>
      <c r="G7" s="87">
        <v>8035206</v>
      </c>
      <c r="H7" s="87">
        <v>7191911</v>
      </c>
      <c r="I7" s="87">
        <v>8507477</v>
      </c>
      <c r="J7" s="87">
        <v>8124053</v>
      </c>
      <c r="K7" s="87">
        <v>8899047</v>
      </c>
      <c r="L7" s="87">
        <v>11406166</v>
      </c>
      <c r="M7" s="87">
        <v>11751905</v>
      </c>
      <c r="N7" s="97">
        <v>11435455</v>
      </c>
      <c r="O7" s="59">
        <v>11215942</v>
      </c>
      <c r="P7" s="59">
        <v>5059167</v>
      </c>
      <c r="Q7" s="59">
        <v>9551759</v>
      </c>
      <c r="R7" s="59">
        <v>8484757</v>
      </c>
      <c r="S7" s="59">
        <v>8960913</v>
      </c>
      <c r="T7" s="59">
        <v>6788194</v>
      </c>
      <c r="U7" s="59">
        <v>5076166</v>
      </c>
      <c r="V7" s="46"/>
      <c r="W7" s="46"/>
      <c r="X7" s="46"/>
      <c r="Y7" s="46"/>
      <c r="Z7" s="46"/>
      <c r="AA7" s="88"/>
    </row>
    <row r="8" spans="2:27" ht="15.75">
      <c r="B8" s="24" t="s">
        <v>3</v>
      </c>
      <c r="C8" s="54" t="s">
        <v>89</v>
      </c>
      <c r="D8" s="87">
        <v>-5514269</v>
      </c>
      <c r="E8" s="87">
        <v>-5869121</v>
      </c>
      <c r="F8" s="87">
        <v>-8253346</v>
      </c>
      <c r="G8" s="87">
        <v>-7053631</v>
      </c>
      <c r="H8" s="87">
        <v>-6431611</v>
      </c>
      <c r="I8" s="87">
        <v>-7691535</v>
      </c>
      <c r="J8" s="87">
        <v>-7369543</v>
      </c>
      <c r="K8" s="87">
        <v>-8190844</v>
      </c>
      <c r="L8" s="87">
        <v>-10758755</v>
      </c>
      <c r="M8" s="87">
        <v>-11056698</v>
      </c>
      <c r="N8" s="97">
        <v>-10707587</v>
      </c>
      <c r="O8" s="59">
        <v>-10359628</v>
      </c>
      <c r="P8" s="59">
        <v>-4660768</v>
      </c>
      <c r="Q8" s="59">
        <v>-8893731</v>
      </c>
      <c r="R8" s="59">
        <v>-7885094</v>
      </c>
      <c r="S8" s="59">
        <v>-8301023</v>
      </c>
      <c r="T8" s="59">
        <v>-6213343</v>
      </c>
      <c r="U8" s="59">
        <v>-464998</v>
      </c>
      <c r="V8" s="46"/>
      <c r="W8" s="46"/>
      <c r="X8" s="46"/>
      <c r="Y8" s="46"/>
      <c r="Z8" s="46"/>
      <c r="AA8" s="88"/>
    </row>
    <row r="9" spans="2:27" s="85" customFormat="1" ht="15.75">
      <c r="B9" s="81" t="s">
        <v>4</v>
      </c>
      <c r="C9" s="82" t="s">
        <v>90</v>
      </c>
      <c r="D9" s="95">
        <f>D7+D8</f>
        <v>680906</v>
      </c>
      <c r="E9" s="95">
        <f>E7+E8</f>
        <v>661784</v>
      </c>
      <c r="F9" s="95">
        <f>F7+F8</f>
        <v>1025518</v>
      </c>
      <c r="G9" s="95">
        <f>G7+G8</f>
        <v>981575</v>
      </c>
      <c r="H9" s="95">
        <f aca="true" t="shared" si="0" ref="H9:O9">H7+H8</f>
        <v>760300</v>
      </c>
      <c r="I9" s="95">
        <f t="shared" si="0"/>
        <v>815942</v>
      </c>
      <c r="J9" s="95">
        <f t="shared" si="0"/>
        <v>754510</v>
      </c>
      <c r="K9" s="95">
        <f t="shared" si="0"/>
        <v>708203</v>
      </c>
      <c r="L9" s="95">
        <f t="shared" si="0"/>
        <v>647411</v>
      </c>
      <c r="M9" s="95">
        <f t="shared" si="0"/>
        <v>695207</v>
      </c>
      <c r="N9" s="62">
        <f t="shared" si="0"/>
        <v>727868</v>
      </c>
      <c r="O9" s="62">
        <f t="shared" si="0"/>
        <v>856314</v>
      </c>
      <c r="P9" s="62">
        <v>398399</v>
      </c>
      <c r="Q9" s="62">
        <v>658028</v>
      </c>
      <c r="R9" s="62">
        <v>599663</v>
      </c>
      <c r="S9" s="62">
        <v>659890</v>
      </c>
      <c r="T9" s="62">
        <v>574851</v>
      </c>
      <c r="U9" s="62">
        <v>426181</v>
      </c>
      <c r="V9" s="98"/>
      <c r="W9" s="98"/>
      <c r="X9" s="98"/>
      <c r="Y9" s="98"/>
      <c r="Z9" s="98"/>
      <c r="AA9" s="99"/>
    </row>
    <row r="10" spans="2:27" ht="15.75">
      <c r="B10" s="24" t="s">
        <v>60</v>
      </c>
      <c r="C10" s="54" t="s">
        <v>91</v>
      </c>
      <c r="D10" s="87">
        <v>149560</v>
      </c>
      <c r="E10" s="87">
        <v>148610</v>
      </c>
      <c r="F10" s="87">
        <v>384967</v>
      </c>
      <c r="G10" s="87">
        <v>295587</v>
      </c>
      <c r="H10" s="87">
        <v>108017</v>
      </c>
      <c r="I10" s="87">
        <v>156810</v>
      </c>
      <c r="J10" s="87">
        <v>192970</v>
      </c>
      <c r="K10" s="87">
        <v>-49126</v>
      </c>
      <c r="L10" s="87">
        <v>-28178</v>
      </c>
      <c r="M10" s="87">
        <v>61250</v>
      </c>
      <c r="N10" s="97">
        <v>156654</v>
      </c>
      <c r="O10" s="59">
        <v>312189</v>
      </c>
      <c r="P10" s="59">
        <v>143688</v>
      </c>
      <c r="Q10" s="59">
        <v>179633</v>
      </c>
      <c r="R10" s="59">
        <v>177625</v>
      </c>
      <c r="S10" s="59">
        <v>234086</v>
      </c>
      <c r="T10" s="59">
        <v>288067</v>
      </c>
      <c r="U10" s="59">
        <v>164415</v>
      </c>
      <c r="V10" s="46"/>
      <c r="W10" s="46"/>
      <c r="X10" s="46"/>
      <c r="Y10" s="46"/>
      <c r="Z10" s="46"/>
      <c r="AA10" s="88"/>
    </row>
    <row r="11" spans="2:27" ht="15.75">
      <c r="B11" s="24" t="s">
        <v>61</v>
      </c>
      <c r="C11" s="54" t="s">
        <v>92</v>
      </c>
      <c r="D11" s="87">
        <v>122480</v>
      </c>
      <c r="E11" s="87">
        <v>200002</v>
      </c>
      <c r="F11" s="87">
        <v>303830</v>
      </c>
      <c r="G11" s="87">
        <v>205987</v>
      </c>
      <c r="H11" s="87">
        <v>61895</v>
      </c>
      <c r="I11" s="87">
        <v>91869</v>
      </c>
      <c r="J11" s="87">
        <v>117349</v>
      </c>
      <c r="K11" s="87">
        <v>-111089</v>
      </c>
      <c r="L11" s="87">
        <v>-93563</v>
      </c>
      <c r="M11" s="87">
        <v>31069</v>
      </c>
      <c r="N11" s="59">
        <v>111587</v>
      </c>
      <c r="O11" s="59">
        <v>252864</v>
      </c>
      <c r="P11" s="59">
        <v>118354</v>
      </c>
      <c r="Q11" s="59">
        <v>146519</v>
      </c>
      <c r="R11" s="59">
        <v>139688</v>
      </c>
      <c r="S11" s="59">
        <v>151346</v>
      </c>
      <c r="T11" s="59">
        <v>236728</v>
      </c>
      <c r="U11" s="59">
        <v>131365</v>
      </c>
      <c r="V11" s="100">
        <f>Q11-Q16-Q17-Q18</f>
        <v>175479</v>
      </c>
      <c r="W11" s="100">
        <f>R11-R16-R17-R18</f>
        <v>173344</v>
      </c>
      <c r="X11" s="100">
        <f>S11-S16-S17-S18</f>
        <v>218532</v>
      </c>
      <c r="Y11" s="100">
        <f>T11-T16-T17-T18</f>
        <v>274460</v>
      </c>
      <c r="Z11" s="100">
        <f>U11-U16-U17-U18</f>
        <v>167036</v>
      </c>
      <c r="AA11" s="88"/>
    </row>
    <row r="12" spans="2:27" ht="12" customHeight="1">
      <c r="B12" s="24" t="s">
        <v>62</v>
      </c>
      <c r="C12" s="54" t="s">
        <v>93</v>
      </c>
      <c r="D12" s="87"/>
      <c r="E12" s="87"/>
      <c r="F12" s="87"/>
      <c r="G12" s="87"/>
      <c r="H12" s="87"/>
      <c r="I12" s="87"/>
      <c r="J12" s="87"/>
      <c r="K12" s="87"/>
      <c r="L12" s="87"/>
      <c r="M12" s="87">
        <v>0</v>
      </c>
      <c r="N12" s="101">
        <v>0</v>
      </c>
      <c r="O12" s="101">
        <v>9</v>
      </c>
      <c r="P12" s="101">
        <v>0</v>
      </c>
      <c r="Q12" s="101">
        <v>4</v>
      </c>
      <c r="R12" s="101">
        <v>2.8</v>
      </c>
      <c r="S12" s="101">
        <v>3.77</v>
      </c>
      <c r="T12" s="101" t="s">
        <v>82</v>
      </c>
      <c r="U12" s="101" t="s">
        <v>82</v>
      </c>
      <c r="V12" s="100">
        <f>V11-Q19</f>
        <v>4</v>
      </c>
      <c r="W12" s="100">
        <f>W11-R19</f>
        <v>0</v>
      </c>
      <c r="X12" s="100">
        <f>X11-S19</f>
        <v>0</v>
      </c>
      <c r="Y12" s="100">
        <f>Y11-T19</f>
        <v>0</v>
      </c>
      <c r="Z12" s="100">
        <f>Z11-U19</f>
        <v>1</v>
      </c>
      <c r="AA12" s="88"/>
    </row>
    <row r="13" spans="2:27" ht="15.75">
      <c r="B13" s="24" t="s">
        <v>84</v>
      </c>
      <c r="C13" s="24" t="s">
        <v>94</v>
      </c>
      <c r="D13" s="96">
        <v>0.0904</v>
      </c>
      <c r="E13" s="96">
        <v>0.153</v>
      </c>
      <c r="F13" s="96">
        <v>0.1997</v>
      </c>
      <c r="G13" s="96">
        <v>0.1316</v>
      </c>
      <c r="H13" s="96">
        <v>0.0129</v>
      </c>
      <c r="I13" s="96">
        <v>0.0287</v>
      </c>
      <c r="J13" s="96">
        <v>0.0531</v>
      </c>
      <c r="K13" s="96">
        <v>-0.1519</v>
      </c>
      <c r="L13" s="96">
        <v>-0.1074</v>
      </c>
      <c r="M13" s="96">
        <v>-0.0086</v>
      </c>
      <c r="N13" s="102">
        <v>0.0712</v>
      </c>
      <c r="O13" s="102">
        <v>0.1944</v>
      </c>
      <c r="P13" s="102">
        <v>0.0901</v>
      </c>
      <c r="Q13" s="102">
        <v>0.1085</v>
      </c>
      <c r="R13" s="102">
        <v>0.107</v>
      </c>
      <c r="S13" s="102">
        <v>0.135</v>
      </c>
      <c r="T13" s="102">
        <v>0.2451</v>
      </c>
      <c r="U13" s="102">
        <v>0.1418</v>
      </c>
      <c r="V13" s="46"/>
      <c r="W13" s="46"/>
      <c r="X13" s="46"/>
      <c r="Y13" s="46"/>
      <c r="Z13" s="46"/>
      <c r="AA13" s="88"/>
    </row>
    <row r="14" spans="2:27" ht="15.75">
      <c r="B14" s="24" t="s">
        <v>5</v>
      </c>
      <c r="C14" s="54" t="s">
        <v>95</v>
      </c>
      <c r="D14" s="87">
        <v>91852</v>
      </c>
      <c r="E14" s="87">
        <v>155473</v>
      </c>
      <c r="F14" s="87">
        <v>202890</v>
      </c>
      <c r="G14" s="87">
        <v>133683</v>
      </c>
      <c r="H14" s="87">
        <v>13135</v>
      </c>
      <c r="I14" s="87">
        <v>29120</v>
      </c>
      <c r="J14" s="87">
        <v>53899</v>
      </c>
      <c r="K14" s="87">
        <v>-153549</v>
      </c>
      <c r="L14" s="87">
        <v>-108464</v>
      </c>
      <c r="M14" s="87">
        <v>-8730</v>
      </c>
      <c r="N14" s="59">
        <v>72044</v>
      </c>
      <c r="O14" s="59">
        <v>196089</v>
      </c>
      <c r="P14" s="59">
        <v>90884</v>
      </c>
      <c r="Q14" s="59">
        <v>109382</v>
      </c>
      <c r="R14" s="59">
        <v>108053</v>
      </c>
      <c r="S14" s="59">
        <v>136249</v>
      </c>
      <c r="T14" s="59">
        <v>199117</v>
      </c>
      <c r="U14" s="59">
        <v>106358</v>
      </c>
      <c r="V14" s="46"/>
      <c r="W14" s="46"/>
      <c r="X14" s="46"/>
      <c r="Y14" s="46"/>
      <c r="Z14" s="46"/>
      <c r="AA14" s="88"/>
    </row>
    <row r="15" spans="2:27" ht="15.75">
      <c r="B15" s="24" t="s">
        <v>6</v>
      </c>
      <c r="C15" s="54" t="s">
        <v>96</v>
      </c>
      <c r="D15" s="87">
        <v>30628</v>
      </c>
      <c r="E15" s="87">
        <v>44529</v>
      </c>
      <c r="F15" s="87">
        <v>100940</v>
      </c>
      <c r="G15" s="87">
        <v>72304</v>
      </c>
      <c r="H15" s="87">
        <v>48760</v>
      </c>
      <c r="I15" s="87">
        <v>62749</v>
      </c>
      <c r="J15" s="87">
        <v>63450</v>
      </c>
      <c r="K15" s="87">
        <v>42460</v>
      </c>
      <c r="L15" s="87">
        <v>14901</v>
      </c>
      <c r="M15" s="87">
        <v>39799</v>
      </c>
      <c r="N15" s="59">
        <v>39543</v>
      </c>
      <c r="O15" s="59">
        <v>56775</v>
      </c>
      <c r="P15" s="59">
        <v>27470</v>
      </c>
      <c r="Q15" s="59">
        <v>37137</v>
      </c>
      <c r="R15" s="59">
        <v>31635</v>
      </c>
      <c r="S15" s="59">
        <v>15097</v>
      </c>
      <c r="T15" s="59">
        <v>37611</v>
      </c>
      <c r="U15" s="59">
        <v>25007</v>
      </c>
      <c r="V15" s="46"/>
      <c r="W15" s="46"/>
      <c r="X15" s="46"/>
      <c r="Y15" s="46"/>
      <c r="Z15" s="46"/>
      <c r="AA15" s="88"/>
    </row>
    <row r="16" spans="2:27" ht="15.75">
      <c r="B16" s="24" t="s">
        <v>7</v>
      </c>
      <c r="C16" s="54" t="s">
        <v>97</v>
      </c>
      <c r="D16" s="87">
        <v>-14792</v>
      </c>
      <c r="E16" s="87">
        <v>-9909</v>
      </c>
      <c r="F16" s="87">
        <v>-47192</v>
      </c>
      <c r="G16" s="87">
        <v>-43133</v>
      </c>
      <c r="H16" s="87">
        <v>-24648</v>
      </c>
      <c r="I16" s="87">
        <v>-21445</v>
      </c>
      <c r="J16" s="87">
        <v>-28573</v>
      </c>
      <c r="K16" s="87">
        <v>-33488</v>
      </c>
      <c r="L16" s="87">
        <v>-38328</v>
      </c>
      <c r="M16" s="87">
        <v>-5498</v>
      </c>
      <c r="N16" s="59">
        <v>-22331</v>
      </c>
      <c r="O16" s="59">
        <v>-38141</v>
      </c>
      <c r="P16" s="59">
        <v>-13832</v>
      </c>
      <c r="Q16" s="59">
        <v>-16414</v>
      </c>
      <c r="R16" s="59">
        <v>-24746</v>
      </c>
      <c r="S16" s="59">
        <v>-39909</v>
      </c>
      <c r="T16" s="59">
        <v>-18016</v>
      </c>
      <c r="U16" s="59">
        <v>-17250</v>
      </c>
      <c r="V16" s="46"/>
      <c r="W16" s="46"/>
      <c r="X16" s="46"/>
      <c r="Y16" s="46"/>
      <c r="Z16" s="46"/>
      <c r="AA16" s="88"/>
    </row>
    <row r="17" spans="2:27" ht="15.75">
      <c r="B17" s="24" t="s">
        <v>8</v>
      </c>
      <c r="C17" s="54" t="s">
        <v>98</v>
      </c>
      <c r="D17" s="87">
        <v>13723</v>
      </c>
      <c r="E17" s="87">
        <v>7247</v>
      </c>
      <c r="F17" s="87">
        <v>12420</v>
      </c>
      <c r="G17" s="87">
        <v>11168</v>
      </c>
      <c r="H17" s="87">
        <v>6866</v>
      </c>
      <c r="I17" s="87">
        <v>4018</v>
      </c>
      <c r="J17" s="87">
        <v>3535</v>
      </c>
      <c r="K17" s="87">
        <v>5411</v>
      </c>
      <c r="L17" s="87">
        <v>4636</v>
      </c>
      <c r="M17" s="87">
        <v>7498</v>
      </c>
      <c r="N17" s="59">
        <v>3198</v>
      </c>
      <c r="O17" s="59">
        <v>3726</v>
      </c>
      <c r="P17" s="59">
        <v>1595</v>
      </c>
      <c r="Q17" s="59">
        <v>2908</v>
      </c>
      <c r="R17" s="59">
        <v>3511</v>
      </c>
      <c r="S17" s="59">
        <v>8705</v>
      </c>
      <c r="T17" s="59">
        <v>11869</v>
      </c>
      <c r="U17" s="59">
        <v>3448</v>
      </c>
      <c r="V17" s="46"/>
      <c r="W17" s="46"/>
      <c r="X17" s="46"/>
      <c r="Y17" s="46"/>
      <c r="Z17" s="46"/>
      <c r="AA17" s="88"/>
    </row>
    <row r="18" spans="2:27" ht="15.75">
      <c r="B18" s="24" t="s">
        <v>9</v>
      </c>
      <c r="C18" s="54" t="s">
        <v>99</v>
      </c>
      <c r="D18" s="87">
        <v>-11278</v>
      </c>
      <c r="E18" s="87">
        <v>-12575</v>
      </c>
      <c r="F18" s="87">
        <v>-31336</v>
      </c>
      <c r="G18" s="87">
        <v>-45860</v>
      </c>
      <c r="H18" s="87">
        <v>-35407</v>
      </c>
      <c r="I18" s="87">
        <v>-42183</v>
      </c>
      <c r="J18" s="87">
        <v>-44852</v>
      </c>
      <c r="K18" s="87">
        <v>-25620</v>
      </c>
      <c r="L18" s="87">
        <v>-25746</v>
      </c>
      <c r="M18" s="87">
        <v>-18822</v>
      </c>
      <c r="N18" s="59">
        <v>-20477</v>
      </c>
      <c r="O18" s="59">
        <v>-19334</v>
      </c>
      <c r="P18" s="59">
        <v>-10259</v>
      </c>
      <c r="Q18" s="59">
        <v>-15454</v>
      </c>
      <c r="R18" s="59">
        <v>-12421</v>
      </c>
      <c r="S18" s="59">
        <v>-35982</v>
      </c>
      <c r="T18" s="59">
        <v>-31585</v>
      </c>
      <c r="U18" s="59">
        <v>-21869</v>
      </c>
      <c r="V18" s="46"/>
      <c r="W18" s="46"/>
      <c r="X18" s="46"/>
      <c r="Y18" s="46"/>
      <c r="Z18" s="46"/>
      <c r="AA18" s="88"/>
    </row>
    <row r="19" spans="2:30" s="85" customFormat="1" ht="15.75">
      <c r="B19" s="81" t="s">
        <v>10</v>
      </c>
      <c r="C19" s="82" t="s">
        <v>100</v>
      </c>
      <c r="D19" s="95">
        <f>D11-D16-D18-D17</f>
        <v>134827</v>
      </c>
      <c r="E19" s="95">
        <f>E11-E16-E18-E17</f>
        <v>215239</v>
      </c>
      <c r="F19" s="95">
        <f aca="true" t="shared" si="1" ref="F19:L19">F11-F16-F18-F17</f>
        <v>369938</v>
      </c>
      <c r="G19" s="95">
        <f t="shared" si="1"/>
        <v>283812</v>
      </c>
      <c r="H19" s="95">
        <f t="shared" si="1"/>
        <v>115084</v>
      </c>
      <c r="I19" s="95">
        <f t="shared" si="1"/>
        <v>151479</v>
      </c>
      <c r="J19" s="95">
        <f t="shared" si="1"/>
        <v>187239</v>
      </c>
      <c r="K19" s="95">
        <f t="shared" si="1"/>
        <v>-57392</v>
      </c>
      <c r="L19" s="95">
        <f t="shared" si="1"/>
        <v>-34125</v>
      </c>
      <c r="M19" s="95">
        <f>M11-M16-M17-M18</f>
        <v>47891</v>
      </c>
      <c r="N19" s="62">
        <f>N11-N16-N17-N18</f>
        <v>151197</v>
      </c>
      <c r="O19" s="62">
        <f>O11-O16-O17-O18</f>
        <v>306613</v>
      </c>
      <c r="P19" s="62">
        <v>140850</v>
      </c>
      <c r="Q19" s="62">
        <v>175475</v>
      </c>
      <c r="R19" s="62">
        <v>173344</v>
      </c>
      <c r="S19" s="62">
        <v>218532</v>
      </c>
      <c r="T19" s="62">
        <v>274460</v>
      </c>
      <c r="U19" s="62">
        <v>167035</v>
      </c>
      <c r="V19" s="103" t="s">
        <v>141</v>
      </c>
      <c r="W19" s="98"/>
      <c r="X19" s="98"/>
      <c r="Y19" s="104"/>
      <c r="Z19" s="104"/>
      <c r="AA19" s="104"/>
      <c r="AB19" s="84"/>
      <c r="AC19" s="84"/>
      <c r="AD19" s="84"/>
    </row>
    <row r="20" spans="2:27" ht="15.75">
      <c r="B20" s="24" t="s">
        <v>11</v>
      </c>
      <c r="C20" s="54" t="s">
        <v>101</v>
      </c>
      <c r="D20" s="87">
        <f>-134823-D21</f>
        <v>-127011</v>
      </c>
      <c r="E20" s="87">
        <f>-156556-E21</f>
        <v>-147949</v>
      </c>
      <c r="F20" s="87">
        <f>-156215-F21</f>
        <v>-149877</v>
      </c>
      <c r="G20" s="87">
        <f>-161675-G21</f>
        <v>-153505</v>
      </c>
      <c r="H20" s="87">
        <v>-148103</v>
      </c>
      <c r="I20" s="87">
        <v>-138489</v>
      </c>
      <c r="J20" s="87">
        <v>-139732</v>
      </c>
      <c r="K20" s="87">
        <v>-143184</v>
      </c>
      <c r="L20" s="87">
        <v>-113905</v>
      </c>
      <c r="M20" s="87">
        <v>-123934</v>
      </c>
      <c r="N20" s="59">
        <v>-120608</v>
      </c>
      <c r="O20" s="59">
        <v>-112581</v>
      </c>
      <c r="P20" s="59">
        <v>-56679</v>
      </c>
      <c r="Q20" s="59">
        <v>-112351</v>
      </c>
      <c r="R20" s="59">
        <v>-100638</v>
      </c>
      <c r="S20" s="59">
        <v>-82650</v>
      </c>
      <c r="T20" s="59">
        <v>-72762</v>
      </c>
      <c r="U20" s="59">
        <v>-59817</v>
      </c>
      <c r="V20" s="46"/>
      <c r="W20" s="100"/>
      <c r="X20" s="100"/>
      <c r="Y20" s="100"/>
      <c r="Z20" s="46"/>
      <c r="AA20" s="88"/>
    </row>
    <row r="21" spans="2:30" ht="15.75">
      <c r="B21" s="24" t="s">
        <v>12</v>
      </c>
      <c r="C21" s="54" t="s">
        <v>102</v>
      </c>
      <c r="D21" s="87">
        <f>-2722-5090</f>
        <v>-7812</v>
      </c>
      <c r="E21" s="87">
        <f>-2402-6205</f>
        <v>-8607</v>
      </c>
      <c r="F21" s="87">
        <v>-6338</v>
      </c>
      <c r="G21" s="87">
        <v>-8170</v>
      </c>
      <c r="H21" s="87">
        <v>-5586</v>
      </c>
      <c r="I21" s="87">
        <v>-5243</v>
      </c>
      <c r="J21" s="87">
        <v>-5157</v>
      </c>
      <c r="K21" s="87">
        <v>-4714</v>
      </c>
      <c r="L21" s="87">
        <v>-4832</v>
      </c>
      <c r="M21" s="87">
        <v>-4043</v>
      </c>
      <c r="N21" s="72">
        <v>-4138</v>
      </c>
      <c r="O21" s="59">
        <v>-4421</v>
      </c>
      <c r="P21" s="59">
        <v>-1532</v>
      </c>
      <c r="Q21" s="59">
        <v>-3183</v>
      </c>
      <c r="R21" s="59">
        <v>-2981</v>
      </c>
      <c r="S21" s="59">
        <v>-2735</v>
      </c>
      <c r="T21" s="59">
        <v>-1176</v>
      </c>
      <c r="U21" s="59">
        <v>-1147</v>
      </c>
      <c r="V21" s="46">
        <v>-3260</v>
      </c>
      <c r="W21" s="46"/>
      <c r="X21" s="100"/>
      <c r="Y21" s="100"/>
      <c r="Z21" s="100"/>
      <c r="AA21" s="100"/>
      <c r="AB21" s="61"/>
      <c r="AC21" s="61"/>
      <c r="AD21" s="61"/>
    </row>
    <row r="22" spans="2:26" s="85" customFormat="1" ht="15.75">
      <c r="B22" s="81" t="s">
        <v>13</v>
      </c>
      <c r="C22" s="82" t="s">
        <v>103</v>
      </c>
      <c r="D22" s="95">
        <f>D19-D20-D21</f>
        <v>269650</v>
      </c>
      <c r="E22" s="95">
        <f>E19-E20-E21</f>
        <v>371795</v>
      </c>
      <c r="F22" s="95">
        <f>F19-F20-F21</f>
        <v>526153</v>
      </c>
      <c r="G22" s="95">
        <f>G19-G20-G21</f>
        <v>445487</v>
      </c>
      <c r="H22" s="95">
        <f aca="true" t="shared" si="2" ref="H22:O22">H19-H20-H21</f>
        <v>268773</v>
      </c>
      <c r="I22" s="95">
        <f t="shared" si="2"/>
        <v>295211</v>
      </c>
      <c r="J22" s="95">
        <f t="shared" si="2"/>
        <v>332128</v>
      </c>
      <c r="K22" s="95">
        <f t="shared" si="2"/>
        <v>90506</v>
      </c>
      <c r="L22" s="95">
        <f t="shared" si="2"/>
        <v>84612</v>
      </c>
      <c r="M22" s="95">
        <f t="shared" si="2"/>
        <v>175868</v>
      </c>
      <c r="N22" s="83">
        <f t="shared" si="2"/>
        <v>275943</v>
      </c>
      <c r="O22" s="83">
        <f t="shared" si="2"/>
        <v>423615</v>
      </c>
      <c r="P22" s="83">
        <f aca="true" t="shared" si="3" ref="P22:U22">P19-P20-P21</f>
        <v>199061</v>
      </c>
      <c r="Q22" s="83">
        <v>291009</v>
      </c>
      <c r="R22" s="83">
        <v>276963</v>
      </c>
      <c r="S22" s="62">
        <v>303917</v>
      </c>
      <c r="T22" s="83">
        <f t="shared" si="3"/>
        <v>348398</v>
      </c>
      <c r="U22" s="83">
        <f t="shared" si="3"/>
        <v>227999</v>
      </c>
      <c r="V22" s="84">
        <f>V21+Q20</f>
        <v>-115611</v>
      </c>
      <c r="W22" s="84">
        <f>O20+O21</f>
        <v>-117002</v>
      </c>
      <c r="X22" s="81"/>
      <c r="Y22" s="84"/>
      <c r="Z22" s="81"/>
    </row>
    <row r="23" spans="2:26" ht="4.5" customHeight="1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2:26" ht="15.75">
      <c r="B24" s="1" t="s">
        <v>69</v>
      </c>
      <c r="C24" s="53" t="s">
        <v>104</v>
      </c>
      <c r="D24" s="53"/>
      <c r="E24" s="53"/>
      <c r="F24" s="53"/>
      <c r="G24" s="53"/>
      <c r="H24" s="53"/>
      <c r="I24" s="53"/>
      <c r="J24" s="53"/>
      <c r="K24" s="53"/>
      <c r="L24" s="53"/>
      <c r="M24" s="63" t="s">
        <v>169</v>
      </c>
      <c r="N24" s="63" t="s">
        <v>162</v>
      </c>
      <c r="O24" s="63" t="s">
        <v>143</v>
      </c>
      <c r="P24" s="1" t="s">
        <v>70</v>
      </c>
      <c r="Q24" s="2" t="s">
        <v>71</v>
      </c>
      <c r="R24" s="2" t="s">
        <v>72</v>
      </c>
      <c r="S24" s="2" t="s">
        <v>20</v>
      </c>
      <c r="T24" s="2" t="s">
        <v>21</v>
      </c>
      <c r="U24" s="2" t="s">
        <v>73</v>
      </c>
      <c r="V24" s="24"/>
      <c r="W24" s="24"/>
      <c r="X24" s="24"/>
      <c r="Y24" s="24"/>
      <c r="Z24" s="24"/>
    </row>
    <row r="25" spans="2:26" ht="15.75">
      <c r="B25" s="24" t="s">
        <v>14</v>
      </c>
      <c r="C25" s="54" t="s">
        <v>105</v>
      </c>
      <c r="D25" s="94">
        <f>D9/D7</f>
        <v>0.10990908247143946</v>
      </c>
      <c r="E25" s="94">
        <f>E9/E7</f>
        <v>0.10133113251532522</v>
      </c>
      <c r="F25" s="94">
        <f>F9/F7</f>
        <v>0.11052193458164707</v>
      </c>
      <c r="G25" s="94">
        <f>G9/G7</f>
        <v>0.12215928253737365</v>
      </c>
      <c r="H25" s="94">
        <f>H9/H7</f>
        <v>0.10571599120178211</v>
      </c>
      <c r="I25" s="94">
        <f aca="true" t="shared" si="4" ref="I25:N25">I9/I7</f>
        <v>0.09590881056745731</v>
      </c>
      <c r="J25" s="94">
        <f t="shared" si="4"/>
        <v>0.09287359400535669</v>
      </c>
      <c r="K25" s="94">
        <f t="shared" si="4"/>
        <v>0.07958189230824379</v>
      </c>
      <c r="L25" s="94">
        <f t="shared" si="4"/>
        <v>0.056759738548430735</v>
      </c>
      <c r="M25" s="94">
        <f t="shared" si="4"/>
        <v>0.05915696221165845</v>
      </c>
      <c r="N25" s="28">
        <f t="shared" si="4"/>
        <v>0.06365011274146941</v>
      </c>
      <c r="O25" s="28">
        <f aca="true" t="shared" si="5" ref="O25:U25">O9/O7</f>
        <v>0.07634793403888858</v>
      </c>
      <c r="P25" s="28">
        <f t="shared" si="5"/>
        <v>0.078747944078541</v>
      </c>
      <c r="Q25" s="28">
        <f t="shared" si="5"/>
        <v>0.06889076661167853</v>
      </c>
      <c r="R25" s="28">
        <f t="shared" si="5"/>
        <v>0.0706753298886462</v>
      </c>
      <c r="S25" s="28">
        <f t="shared" si="5"/>
        <v>0.07364093368610988</v>
      </c>
      <c r="T25" s="28">
        <f t="shared" si="5"/>
        <v>0.08468393802534223</v>
      </c>
      <c r="U25" s="28">
        <f t="shared" si="5"/>
        <v>0.08395726223295298</v>
      </c>
      <c r="V25" s="24"/>
      <c r="W25" s="24"/>
      <c r="X25" s="24"/>
      <c r="Y25" s="24"/>
      <c r="Z25" s="24"/>
    </row>
    <row r="26" spans="2:26" ht="15.75">
      <c r="B26" s="24" t="s">
        <v>15</v>
      </c>
      <c r="C26" s="54" t="s">
        <v>106</v>
      </c>
      <c r="D26" s="94">
        <f>D10/D7</f>
        <v>0.02414136808080482</v>
      </c>
      <c r="E26" s="94">
        <f>E10/E7</f>
        <v>0.022754886191117464</v>
      </c>
      <c r="F26" s="94">
        <f>F10/F7</f>
        <v>0.041488591706915844</v>
      </c>
      <c r="G26" s="94">
        <f>G10/G7</f>
        <v>0.03678648686791602</v>
      </c>
      <c r="H26" s="94">
        <f>H10/H7</f>
        <v>0.015019234804212677</v>
      </c>
      <c r="I26" s="94">
        <f aca="true" t="shared" si="6" ref="I26:N26">I10/I7</f>
        <v>0.018432021620510993</v>
      </c>
      <c r="J26" s="94">
        <f t="shared" si="6"/>
        <v>0.02375292234061004</v>
      </c>
      <c r="K26" s="94">
        <f t="shared" si="6"/>
        <v>-0.005520366394289186</v>
      </c>
      <c r="L26" s="94">
        <f t="shared" si="6"/>
        <v>-0.0024704181931071317</v>
      </c>
      <c r="M26" s="94">
        <f t="shared" si="6"/>
        <v>0.005211920960899531</v>
      </c>
      <c r="N26" s="28">
        <f t="shared" si="6"/>
        <v>0.013698973936760716</v>
      </c>
      <c r="O26" s="28">
        <f aca="true" t="shared" si="7" ref="O26:U26">O10/O7</f>
        <v>0.027834398573031136</v>
      </c>
      <c r="P26" s="28">
        <f t="shared" si="7"/>
        <v>0.028401513529796505</v>
      </c>
      <c r="Q26" s="28">
        <f t="shared" si="7"/>
        <v>0.018806274320782173</v>
      </c>
      <c r="R26" s="28">
        <f t="shared" si="7"/>
        <v>0.020934600719855617</v>
      </c>
      <c r="S26" s="28">
        <f t="shared" si="7"/>
        <v>0.026123007778336874</v>
      </c>
      <c r="T26" s="28">
        <f t="shared" si="7"/>
        <v>0.04243647132064876</v>
      </c>
      <c r="U26" s="28">
        <f t="shared" si="7"/>
        <v>0.03238960270408808</v>
      </c>
      <c r="V26" s="24"/>
      <c r="W26" s="24"/>
      <c r="X26" s="24"/>
      <c r="Y26" s="24"/>
      <c r="Z26" s="24"/>
    </row>
    <row r="27" spans="2:26" ht="15.75">
      <c r="B27" s="24" t="s">
        <v>16</v>
      </c>
      <c r="C27" s="54" t="s">
        <v>107</v>
      </c>
      <c r="D27" s="94">
        <f>D11/D7</f>
        <v>0.019770224408511464</v>
      </c>
      <c r="E27" s="94">
        <f>E11/E7</f>
        <v>0.030623933436483917</v>
      </c>
      <c r="F27" s="94">
        <f>F11/F7</f>
        <v>0.0327443100793373</v>
      </c>
      <c r="G27" s="94">
        <f>G11/G7</f>
        <v>0.02563555931235615</v>
      </c>
      <c r="H27" s="94">
        <f>H11/H7</f>
        <v>0.008606196600597532</v>
      </c>
      <c r="I27" s="94">
        <f aca="true" t="shared" si="8" ref="I27:N27">I11/I7</f>
        <v>0.010798618673902968</v>
      </c>
      <c r="J27" s="94">
        <f t="shared" si="8"/>
        <v>0.014444637424201935</v>
      </c>
      <c r="K27" s="94">
        <f t="shared" si="8"/>
        <v>-0.012483246801595722</v>
      </c>
      <c r="L27" s="94">
        <f t="shared" si="8"/>
        <v>-0.008202843970533131</v>
      </c>
      <c r="M27" s="94">
        <f t="shared" si="8"/>
        <v>0.002643741589129592</v>
      </c>
      <c r="N27" s="28">
        <f t="shared" si="8"/>
        <v>0.009757985143573211</v>
      </c>
      <c r="O27" s="28">
        <f aca="true" t="shared" si="9" ref="O27:U27">O11/O7</f>
        <v>0.022545052390606158</v>
      </c>
      <c r="P27" s="28">
        <f t="shared" si="9"/>
        <v>0.023393969797794775</v>
      </c>
      <c r="Q27" s="28">
        <f t="shared" si="9"/>
        <v>0.01533947830970191</v>
      </c>
      <c r="R27" s="28">
        <f t="shared" si="9"/>
        <v>0.016463406082224866</v>
      </c>
      <c r="S27" s="28">
        <f t="shared" si="9"/>
        <v>0.0168895736405431</v>
      </c>
      <c r="T27" s="28">
        <f t="shared" si="9"/>
        <v>0.03487348770527183</v>
      </c>
      <c r="U27" s="28">
        <f t="shared" si="9"/>
        <v>0.02587878331796084</v>
      </c>
      <c r="V27" s="24"/>
      <c r="W27" s="24"/>
      <c r="X27" s="24"/>
      <c r="Y27" s="24"/>
      <c r="Z27" s="24"/>
    </row>
    <row r="28" spans="2:26" ht="15.75">
      <c r="B28" s="24" t="s">
        <v>17</v>
      </c>
      <c r="C28" s="54" t="s">
        <v>108</v>
      </c>
      <c r="D28" s="105">
        <f>D32/D14</f>
        <v>0</v>
      </c>
      <c r="E28" s="105">
        <f>E32/E14</f>
        <v>0</v>
      </c>
      <c r="F28" s="105">
        <f>F32/F14</f>
        <v>0</v>
      </c>
      <c r="G28" s="105">
        <f>G32/G14</f>
        <v>0</v>
      </c>
      <c r="H28" s="105">
        <f>H32/H14</f>
        <v>0</v>
      </c>
      <c r="I28" s="105">
        <f aca="true" t="shared" si="10" ref="I28:N28">I32/I14</f>
        <v>0</v>
      </c>
      <c r="J28" s="105">
        <f t="shared" si="10"/>
        <v>0</v>
      </c>
      <c r="K28" s="105">
        <f t="shared" si="10"/>
        <v>0</v>
      </c>
      <c r="L28" s="105">
        <f t="shared" si="10"/>
        <v>0</v>
      </c>
      <c r="M28" s="105">
        <f t="shared" si="10"/>
        <v>0</v>
      </c>
      <c r="N28" s="47">
        <f t="shared" si="10"/>
        <v>0</v>
      </c>
      <c r="O28" s="47">
        <f aca="true" t="shared" si="11" ref="O28:U28">O32/O14</f>
        <v>0</v>
      </c>
      <c r="P28" s="47">
        <f t="shared" si="11"/>
        <v>0</v>
      </c>
      <c r="Q28" s="47">
        <f t="shared" si="11"/>
        <v>0.31466786125687957</v>
      </c>
      <c r="R28" s="47">
        <f t="shared" si="11"/>
        <v>0.22741617539540782</v>
      </c>
      <c r="S28" s="47">
        <f t="shared" si="11"/>
        <v>0.23154665355342058</v>
      </c>
      <c r="T28" s="47">
        <f t="shared" si="11"/>
        <v>0</v>
      </c>
      <c r="U28" s="47">
        <f t="shared" si="11"/>
        <v>0</v>
      </c>
      <c r="V28" s="24"/>
      <c r="W28" s="24"/>
      <c r="X28" s="24"/>
      <c r="Y28" s="24"/>
      <c r="Z28" s="24"/>
    </row>
    <row r="29" spans="2:26" ht="15.75">
      <c r="B29" s="24" t="s">
        <v>19</v>
      </c>
      <c r="C29" s="54" t="s">
        <v>109</v>
      </c>
      <c r="D29" s="94">
        <f>D19/D7</f>
        <v>0.0217632270274851</v>
      </c>
      <c r="E29" s="94">
        <f>E19/E7</f>
        <v>0.03295699447473206</v>
      </c>
      <c r="F29" s="94">
        <f>F19/F7</f>
        <v>0.03986888912263398</v>
      </c>
      <c r="G29" s="94">
        <f>G19/G7</f>
        <v>0.03532106084150176</v>
      </c>
      <c r="H29" s="94">
        <f>H19/H7</f>
        <v>0.016001866541451918</v>
      </c>
      <c r="I29" s="94">
        <f aca="true" t="shared" si="12" ref="I29:N29">I19/I7</f>
        <v>0.01780539635899104</v>
      </c>
      <c r="J29" s="94">
        <f t="shared" si="12"/>
        <v>0.023047486273169316</v>
      </c>
      <c r="K29" s="94">
        <f t="shared" si="12"/>
        <v>-0.006449229900684871</v>
      </c>
      <c r="L29" s="94">
        <f t="shared" si="12"/>
        <v>-0.0029918028547015712</v>
      </c>
      <c r="M29" s="94">
        <f t="shared" si="12"/>
        <v>0.004075169089607174</v>
      </c>
      <c r="N29" s="28">
        <f t="shared" si="12"/>
        <v>0.01322177386033175</v>
      </c>
      <c r="O29" s="28">
        <f aca="true" t="shared" si="13" ref="O29:U29">O19/O7</f>
        <v>0.027337249069226643</v>
      </c>
      <c r="P29" s="28">
        <f t="shared" si="13"/>
        <v>0.027840551616501293</v>
      </c>
      <c r="Q29" s="28">
        <f t="shared" si="13"/>
        <v>0.018370961830171804</v>
      </c>
      <c r="R29" s="28">
        <f t="shared" si="13"/>
        <v>0.020430048851133864</v>
      </c>
      <c r="S29" s="28">
        <f t="shared" si="13"/>
        <v>0.024387247147695777</v>
      </c>
      <c r="T29" s="28">
        <f t="shared" si="13"/>
        <v>0.04043196172649161</v>
      </c>
      <c r="U29" s="28">
        <f t="shared" si="13"/>
        <v>0.03290574027720922</v>
      </c>
      <c r="V29" s="24"/>
      <c r="W29" s="24"/>
      <c r="X29" s="24"/>
      <c r="Y29" s="24"/>
      <c r="Z29" s="24"/>
    </row>
    <row r="30" spans="2:26" ht="15.75">
      <c r="B30" s="24" t="s">
        <v>18</v>
      </c>
      <c r="C30" s="54" t="s">
        <v>110</v>
      </c>
      <c r="D30" s="94">
        <f>D22/D7</f>
        <v>0.043525808391207677</v>
      </c>
      <c r="E30" s="94">
        <f>E22/E7</f>
        <v>0.056928557374513945</v>
      </c>
      <c r="F30" s="94">
        <f>F22/F7</f>
        <v>0.05670446296012098</v>
      </c>
      <c r="G30" s="94">
        <f>G22/G7</f>
        <v>0.05544188910651451</v>
      </c>
      <c r="H30" s="94">
        <f>H22/H7</f>
        <v>0.03737156925329026</v>
      </c>
      <c r="I30" s="94">
        <f aca="true" t="shared" si="14" ref="I30:N30">I22/I7</f>
        <v>0.03470018196934297</v>
      </c>
      <c r="J30" s="94">
        <f t="shared" si="14"/>
        <v>0.040882057268705654</v>
      </c>
      <c r="K30" s="94">
        <f t="shared" si="14"/>
        <v>0.01017030250542558</v>
      </c>
      <c r="L30" s="94">
        <f t="shared" si="14"/>
        <v>0.007418092985846427</v>
      </c>
      <c r="M30" s="94">
        <f t="shared" si="14"/>
        <v>0.01496506311104455</v>
      </c>
      <c r="N30" s="28">
        <f t="shared" si="14"/>
        <v>0.024130478411221942</v>
      </c>
      <c r="O30" s="28">
        <f aca="true" t="shared" si="15" ref="O30:U30">O22/O7</f>
        <v>0.03776900772133094</v>
      </c>
      <c r="P30" s="28">
        <f t="shared" si="15"/>
        <v>0.0393465959910001</v>
      </c>
      <c r="Q30" s="28">
        <f t="shared" si="15"/>
        <v>0.030466535012032864</v>
      </c>
      <c r="R30" s="28">
        <f t="shared" si="15"/>
        <v>0.03264241981237648</v>
      </c>
      <c r="S30" s="28">
        <f t="shared" si="15"/>
        <v>0.0339158521012312</v>
      </c>
      <c r="T30" s="28">
        <f t="shared" si="15"/>
        <v>0.05132410770817687</v>
      </c>
      <c r="U30" s="28">
        <f t="shared" si="15"/>
        <v>0.044915591806887326</v>
      </c>
      <c r="V30" s="24"/>
      <c r="W30" s="24"/>
      <c r="X30" s="24"/>
      <c r="Y30" s="24"/>
      <c r="Z30" s="24"/>
    </row>
    <row r="31" ht="15" customHeight="1"/>
    <row r="32" spans="16:19" ht="15.75" hidden="1">
      <c r="P32" s="48">
        <v>0</v>
      </c>
      <c r="Q32" s="3">
        <f>34419</f>
        <v>34419</v>
      </c>
      <c r="R32" s="3">
        <v>24573</v>
      </c>
      <c r="S32" s="3">
        <v>31548</v>
      </c>
    </row>
    <row r="33" ht="15.75"/>
    <row r="34" ht="15.75"/>
    <row r="35" ht="15.75"/>
    <row r="36" ht="15.75">
      <c r="V36" t="s">
        <v>160</v>
      </c>
    </row>
    <row r="37" spans="4:21" ht="15.75">
      <c r="D37">
        <v>2021</v>
      </c>
      <c r="E37">
        <v>2021</v>
      </c>
      <c r="F37">
        <v>2020</v>
      </c>
      <c r="G37">
        <v>2019</v>
      </c>
      <c r="H37">
        <v>2018</v>
      </c>
      <c r="I37">
        <v>2017</v>
      </c>
      <c r="J37">
        <v>2016</v>
      </c>
      <c r="K37">
        <v>2015</v>
      </c>
      <c r="L37">
        <v>2014</v>
      </c>
      <c r="M37">
        <v>2013</v>
      </c>
      <c r="N37">
        <v>2012</v>
      </c>
      <c r="O37">
        <v>2011</v>
      </c>
      <c r="P37" t="s">
        <v>173</v>
      </c>
      <c r="Q37" s="3">
        <v>2010</v>
      </c>
      <c r="R37" s="3">
        <v>2009</v>
      </c>
      <c r="S37" s="3">
        <v>2008</v>
      </c>
      <c r="T37" s="3">
        <v>2007</v>
      </c>
      <c r="U37" s="3">
        <v>2006</v>
      </c>
    </row>
    <row r="38" spans="3:21" ht="15.75">
      <c r="C38" s="24" t="s">
        <v>61</v>
      </c>
      <c r="D38" s="25">
        <f>D11</f>
        <v>122480</v>
      </c>
      <c r="E38" s="25">
        <f>E11</f>
        <v>200002</v>
      </c>
      <c r="F38" s="25">
        <f>F11</f>
        <v>303830</v>
      </c>
      <c r="G38" s="25">
        <f>G11</f>
        <v>205987</v>
      </c>
      <c r="H38" s="25">
        <f>H11</f>
        <v>61895</v>
      </c>
      <c r="I38" s="25">
        <f aca="true" t="shared" si="16" ref="I38:N38">I11</f>
        <v>91869</v>
      </c>
      <c r="J38" s="25">
        <f t="shared" si="16"/>
        <v>117349</v>
      </c>
      <c r="K38" s="25">
        <f t="shared" si="16"/>
        <v>-111089</v>
      </c>
      <c r="L38" s="25">
        <f t="shared" si="16"/>
        <v>-93563</v>
      </c>
      <c r="M38" s="25">
        <f t="shared" si="16"/>
        <v>31069</v>
      </c>
      <c r="N38" s="25">
        <f t="shared" si="16"/>
        <v>111587</v>
      </c>
      <c r="O38" s="59">
        <v>252864</v>
      </c>
      <c r="P38" s="59">
        <v>118354</v>
      </c>
      <c r="Q38" s="59">
        <v>146519</v>
      </c>
      <c r="R38" s="59">
        <v>139688</v>
      </c>
      <c r="S38" s="59">
        <v>151346</v>
      </c>
      <c r="T38" s="59">
        <v>236728</v>
      </c>
      <c r="U38" s="59">
        <v>131365</v>
      </c>
    </row>
    <row r="39" spans="3:21" ht="15.75">
      <c r="C39" t="s">
        <v>154</v>
      </c>
      <c r="D39" s="60">
        <f>D17</f>
        <v>13723</v>
      </c>
      <c r="E39" s="60">
        <f>E17</f>
        <v>7247</v>
      </c>
      <c r="F39" s="60">
        <f aca="true" t="shared" si="17" ref="F39:H40">F17</f>
        <v>12420</v>
      </c>
      <c r="G39" s="60">
        <f t="shared" si="17"/>
        <v>11168</v>
      </c>
      <c r="H39" s="60">
        <f t="shared" si="17"/>
        <v>6866</v>
      </c>
      <c r="I39" s="60">
        <f aca="true" t="shared" si="18" ref="I39:N40">I17</f>
        <v>4018</v>
      </c>
      <c r="J39" s="60">
        <f t="shared" si="18"/>
        <v>3535</v>
      </c>
      <c r="K39" s="60">
        <f t="shared" si="18"/>
        <v>5411</v>
      </c>
      <c r="L39" s="60">
        <f t="shared" si="18"/>
        <v>4636</v>
      </c>
      <c r="M39" s="60">
        <f t="shared" si="18"/>
        <v>7498</v>
      </c>
      <c r="N39" s="60">
        <f t="shared" si="18"/>
        <v>3198</v>
      </c>
      <c r="O39" s="59">
        <v>3726</v>
      </c>
      <c r="P39" s="59">
        <v>1595</v>
      </c>
      <c r="Q39" s="59">
        <v>2908</v>
      </c>
      <c r="R39" s="59">
        <v>3511</v>
      </c>
      <c r="S39" s="59">
        <v>8705</v>
      </c>
      <c r="T39" s="59">
        <v>11869</v>
      </c>
      <c r="U39" s="59">
        <v>3448</v>
      </c>
    </row>
    <row r="40" spans="3:21" ht="15.75">
      <c r="C40" t="s">
        <v>155</v>
      </c>
      <c r="D40" s="60">
        <f>D18</f>
        <v>-11278</v>
      </c>
      <c r="E40" s="60">
        <f>E18</f>
        <v>-12575</v>
      </c>
      <c r="F40" s="60">
        <f t="shared" si="17"/>
        <v>-31336</v>
      </c>
      <c r="G40" s="60">
        <f t="shared" si="17"/>
        <v>-45860</v>
      </c>
      <c r="H40" s="60">
        <f t="shared" si="17"/>
        <v>-35407</v>
      </c>
      <c r="I40" s="60">
        <f t="shared" si="18"/>
        <v>-42183</v>
      </c>
      <c r="J40" s="60">
        <f t="shared" si="18"/>
        <v>-44852</v>
      </c>
      <c r="K40" s="60">
        <f t="shared" si="18"/>
        <v>-25620</v>
      </c>
      <c r="L40" s="60">
        <f t="shared" si="18"/>
        <v>-25746</v>
      </c>
      <c r="M40" s="60">
        <f t="shared" si="18"/>
        <v>-18822</v>
      </c>
      <c r="N40" s="60">
        <f t="shared" si="18"/>
        <v>-20477</v>
      </c>
      <c r="O40" s="59">
        <v>-19334</v>
      </c>
      <c r="P40" s="59">
        <v>-10259</v>
      </c>
      <c r="Q40" s="59">
        <v>-15454</v>
      </c>
      <c r="R40" s="59">
        <v>-12421</v>
      </c>
      <c r="S40" s="59">
        <v>-35982</v>
      </c>
      <c r="T40" s="59">
        <v>-31585</v>
      </c>
      <c r="U40" s="59">
        <v>-21869</v>
      </c>
    </row>
    <row r="41" spans="3:21" ht="15.75">
      <c r="C41" t="s">
        <v>152</v>
      </c>
      <c r="D41" s="68">
        <f>SUM(D39:D40)</f>
        <v>2445</v>
      </c>
      <c r="E41" s="68">
        <f>SUM(E39:E40)</f>
        <v>-5328</v>
      </c>
      <c r="F41" s="68">
        <f>SUM(F39:F40)</f>
        <v>-18916</v>
      </c>
      <c r="G41" s="68">
        <f>SUM(G39:G40)</f>
        <v>-34692</v>
      </c>
      <c r="H41" s="68">
        <f aca="true" t="shared" si="19" ref="H41:O41">SUM(H39:H40)</f>
        <v>-28541</v>
      </c>
      <c r="I41" s="68">
        <f t="shared" si="19"/>
        <v>-38165</v>
      </c>
      <c r="J41" s="68">
        <f t="shared" si="19"/>
        <v>-41317</v>
      </c>
      <c r="K41" s="68">
        <f t="shared" si="19"/>
        <v>-20209</v>
      </c>
      <c r="L41" s="68">
        <f t="shared" si="19"/>
        <v>-21110</v>
      </c>
      <c r="M41" s="68">
        <f t="shared" si="19"/>
        <v>-11324</v>
      </c>
      <c r="N41" s="68">
        <f t="shared" si="19"/>
        <v>-17279</v>
      </c>
      <c r="O41" s="107">
        <f t="shared" si="19"/>
        <v>-15608</v>
      </c>
      <c r="P41" s="107">
        <f aca="true" t="shared" si="20" ref="P41:U41">SUM(P39:P40)</f>
        <v>-8664</v>
      </c>
      <c r="Q41" s="107">
        <f t="shared" si="20"/>
        <v>-12546</v>
      </c>
      <c r="R41" s="107">
        <f t="shared" si="20"/>
        <v>-8910</v>
      </c>
      <c r="S41" s="107">
        <f t="shared" si="20"/>
        <v>-27277</v>
      </c>
      <c r="T41" s="107">
        <f t="shared" si="20"/>
        <v>-19716</v>
      </c>
      <c r="U41" s="107">
        <f t="shared" si="20"/>
        <v>-18421</v>
      </c>
    </row>
    <row r="42" spans="3:21" ht="15.75">
      <c r="C42" t="s">
        <v>153</v>
      </c>
      <c r="D42" s="60">
        <f>D16</f>
        <v>-14792</v>
      </c>
      <c r="E42" s="60">
        <f>E16</f>
        <v>-9909</v>
      </c>
      <c r="F42" s="60">
        <f>F16</f>
        <v>-47192</v>
      </c>
      <c r="G42" s="60">
        <f>G16</f>
        <v>-43133</v>
      </c>
      <c r="H42" s="60">
        <f>H16</f>
        <v>-24648</v>
      </c>
      <c r="I42" s="60">
        <f aca="true" t="shared" si="21" ref="I42:N42">I16</f>
        <v>-21445</v>
      </c>
      <c r="J42" s="60">
        <f t="shared" si="21"/>
        <v>-28573</v>
      </c>
      <c r="K42" s="60">
        <f t="shared" si="21"/>
        <v>-33488</v>
      </c>
      <c r="L42" s="60">
        <f t="shared" si="21"/>
        <v>-38328</v>
      </c>
      <c r="M42" s="60">
        <f t="shared" si="21"/>
        <v>-5498</v>
      </c>
      <c r="N42" s="60">
        <f t="shared" si="21"/>
        <v>-22331</v>
      </c>
      <c r="O42" s="59">
        <v>-38141</v>
      </c>
      <c r="P42" s="59">
        <v>-13832</v>
      </c>
      <c r="Q42" s="59">
        <v>-16414</v>
      </c>
      <c r="R42" s="59">
        <v>-24746</v>
      </c>
      <c r="S42" s="59">
        <v>-39909</v>
      </c>
      <c r="T42" s="59">
        <v>-18016</v>
      </c>
      <c r="U42" s="59">
        <v>-17250</v>
      </c>
    </row>
    <row r="43" spans="3:21" ht="15.75">
      <c r="C43" t="s">
        <v>156</v>
      </c>
      <c r="D43" s="68">
        <f>D38+(-1*D41)+(-1*D42)</f>
        <v>134827</v>
      </c>
      <c r="E43" s="68">
        <f>E38+(-1*E41)+(-1*E42)</f>
        <v>215239</v>
      </c>
      <c r="F43" s="68">
        <f>F38+(-1*F41)+(-1*F42)</f>
        <v>369938</v>
      </c>
      <c r="G43" s="68">
        <f>G38+(-1*G41)+(-1*G42)</f>
        <v>283812</v>
      </c>
      <c r="H43" s="68">
        <f aca="true" t="shared" si="22" ref="H43:O43">H38+(-1*H41)+(-1*H42)</f>
        <v>115084</v>
      </c>
      <c r="I43" s="68">
        <f t="shared" si="22"/>
        <v>151479</v>
      </c>
      <c r="J43" s="68">
        <f t="shared" si="22"/>
        <v>187239</v>
      </c>
      <c r="K43" s="68">
        <f t="shared" si="22"/>
        <v>-57392</v>
      </c>
      <c r="L43" s="68">
        <f t="shared" si="22"/>
        <v>-34125</v>
      </c>
      <c r="M43" s="68">
        <f t="shared" si="22"/>
        <v>47891</v>
      </c>
      <c r="N43" s="68">
        <f t="shared" si="22"/>
        <v>151197</v>
      </c>
      <c r="O43" s="107">
        <f t="shared" si="22"/>
        <v>306613</v>
      </c>
      <c r="P43" s="107">
        <f aca="true" t="shared" si="23" ref="P43:U43">P38+(-1*P41)+(-1*P42)</f>
        <v>140850</v>
      </c>
      <c r="Q43" s="107">
        <f t="shared" si="23"/>
        <v>175479</v>
      </c>
      <c r="R43" s="107">
        <f t="shared" si="23"/>
        <v>173344</v>
      </c>
      <c r="S43" s="107">
        <f t="shared" si="23"/>
        <v>218532</v>
      </c>
      <c r="T43" s="107">
        <f t="shared" si="23"/>
        <v>274460</v>
      </c>
      <c r="U43" s="107">
        <f t="shared" si="23"/>
        <v>167036</v>
      </c>
    </row>
    <row r="44" spans="3:21" ht="15.75">
      <c r="C44" t="s">
        <v>157</v>
      </c>
      <c r="D44" s="60">
        <f>D20</f>
        <v>-127011</v>
      </c>
      <c r="E44" s="60">
        <f>E20</f>
        <v>-147949</v>
      </c>
      <c r="F44" s="60">
        <f aca="true" t="shared" si="24" ref="F44:H45">F20</f>
        <v>-149877</v>
      </c>
      <c r="G44" s="60">
        <f t="shared" si="24"/>
        <v>-153505</v>
      </c>
      <c r="H44" s="60">
        <f t="shared" si="24"/>
        <v>-148103</v>
      </c>
      <c r="I44" s="60">
        <f aca="true" t="shared" si="25" ref="I44:N45">I20</f>
        <v>-138489</v>
      </c>
      <c r="J44" s="60">
        <f t="shared" si="25"/>
        <v>-139732</v>
      </c>
      <c r="K44" s="60">
        <f t="shared" si="25"/>
        <v>-143184</v>
      </c>
      <c r="L44" s="60">
        <f t="shared" si="25"/>
        <v>-113905</v>
      </c>
      <c r="M44" s="60">
        <f t="shared" si="25"/>
        <v>-123934</v>
      </c>
      <c r="N44" s="60">
        <f t="shared" si="25"/>
        <v>-120608</v>
      </c>
      <c r="O44" s="59">
        <v>-112581</v>
      </c>
      <c r="P44" s="59">
        <v>-56679</v>
      </c>
      <c r="Q44" s="59">
        <v>-112351</v>
      </c>
      <c r="R44" s="59">
        <v>-100638</v>
      </c>
      <c r="S44" s="59">
        <v>-82650</v>
      </c>
      <c r="T44" s="59">
        <v>-72762</v>
      </c>
      <c r="U44" s="59">
        <v>-59817</v>
      </c>
    </row>
    <row r="45" spans="3:21" ht="15.75">
      <c r="C45" t="s">
        <v>158</v>
      </c>
      <c r="D45" s="60">
        <f>D21</f>
        <v>-7812</v>
      </c>
      <c r="E45" s="60">
        <f>E21</f>
        <v>-8607</v>
      </c>
      <c r="F45" s="60">
        <f t="shared" si="24"/>
        <v>-6338</v>
      </c>
      <c r="G45" s="60">
        <f t="shared" si="24"/>
        <v>-8170</v>
      </c>
      <c r="H45" s="60">
        <f t="shared" si="24"/>
        <v>-5586</v>
      </c>
      <c r="I45" s="60">
        <f t="shared" si="25"/>
        <v>-5243</v>
      </c>
      <c r="J45" s="60">
        <f t="shared" si="25"/>
        <v>-5157</v>
      </c>
      <c r="K45" s="60">
        <f t="shared" si="25"/>
        <v>-4714</v>
      </c>
      <c r="L45" s="60">
        <f t="shared" si="25"/>
        <v>-4832</v>
      </c>
      <c r="M45" s="60">
        <f t="shared" si="25"/>
        <v>-4043</v>
      </c>
      <c r="N45" s="60">
        <f t="shared" si="25"/>
        <v>-4138</v>
      </c>
      <c r="O45" s="59">
        <v>-4421</v>
      </c>
      <c r="P45" s="59">
        <v>-1532</v>
      </c>
      <c r="Q45" s="59">
        <v>-3183</v>
      </c>
      <c r="R45" s="59">
        <v>-2981</v>
      </c>
      <c r="S45" s="59">
        <v>-2735</v>
      </c>
      <c r="T45" s="59">
        <v>-1176</v>
      </c>
      <c r="U45" s="59">
        <v>-1147</v>
      </c>
    </row>
    <row r="46" spans="3:21" ht="15.75">
      <c r="C46" t="s">
        <v>159</v>
      </c>
      <c r="D46" s="68">
        <f>D43+(-1*D44)+(-1*D45)</f>
        <v>269650</v>
      </c>
      <c r="E46" s="68">
        <f>E43+(-1*E44)+(-1*E45)</f>
        <v>371795</v>
      </c>
      <c r="F46" s="68">
        <f>F43+(-1*F44)+(-1*F45)</f>
        <v>526153</v>
      </c>
      <c r="G46" s="68">
        <f>G43+(-1*G44)+(-1*G45)</f>
        <v>445487</v>
      </c>
      <c r="H46" s="68">
        <f aca="true" t="shared" si="26" ref="H46:O46">H43+(-1*H44)+(-1*H45)</f>
        <v>268773</v>
      </c>
      <c r="I46" s="68">
        <f t="shared" si="26"/>
        <v>295211</v>
      </c>
      <c r="J46" s="68">
        <f t="shared" si="26"/>
        <v>332128</v>
      </c>
      <c r="K46" s="68">
        <f t="shared" si="26"/>
        <v>90506</v>
      </c>
      <c r="L46" s="68">
        <f t="shared" si="26"/>
        <v>84612</v>
      </c>
      <c r="M46" s="68">
        <f t="shared" si="26"/>
        <v>175868</v>
      </c>
      <c r="N46" s="68">
        <f t="shared" si="26"/>
        <v>275943</v>
      </c>
      <c r="O46" s="107">
        <f t="shared" si="26"/>
        <v>423615</v>
      </c>
      <c r="P46" s="107">
        <f aca="true" t="shared" si="27" ref="P46:U46">P43+(-1*P44)+(-1*P45)</f>
        <v>199061</v>
      </c>
      <c r="Q46" s="107">
        <f t="shared" si="27"/>
        <v>291013</v>
      </c>
      <c r="R46" s="107">
        <f t="shared" si="27"/>
        <v>276963</v>
      </c>
      <c r="S46" s="107">
        <f t="shared" si="27"/>
        <v>303917</v>
      </c>
      <c r="T46" s="107">
        <f t="shared" si="27"/>
        <v>348398</v>
      </c>
      <c r="U46" s="107">
        <f t="shared" si="27"/>
        <v>228000</v>
      </c>
    </row>
    <row r="48" ht="15.75"/>
    <row r="49" ht="15.75"/>
    <row r="50" ht="15.75"/>
  </sheetData>
  <sheetProtection/>
  <mergeCells count="1">
    <mergeCell ref="B23:Z2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X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8" sqref="E18"/>
    </sheetView>
  </sheetViews>
  <sheetFormatPr defaultColWidth="9.00390625" defaultRowHeight="15.75"/>
  <cols>
    <col min="2" max="2" width="25.875" style="0" customWidth="1"/>
    <col min="3" max="3" width="20.125" style="0" customWidth="1"/>
    <col min="4" max="12" width="10.625" style="0" customWidth="1"/>
    <col min="13" max="13" width="10.625" style="60" customWidth="1"/>
    <col min="14" max="14" width="10.50390625" style="60" customWidth="1"/>
    <col min="15" max="15" width="13.875" style="0" customWidth="1"/>
    <col min="16" max="16" width="12.125" style="0" hidden="1" customWidth="1"/>
    <col min="17" max="17" width="10.875" style="0" customWidth="1"/>
    <col min="18" max="18" width="12.625" style="0" bestFit="1" customWidth="1"/>
    <col min="19" max="20" width="11.125" style="0" bestFit="1" customWidth="1"/>
    <col min="21" max="21" width="9.375" style="0" bestFit="1" customWidth="1"/>
    <col min="24" max="24" width="12.75390625" style="0" bestFit="1" customWidth="1"/>
  </cols>
  <sheetData>
    <row r="1" spans="1:21" ht="15.7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4"/>
      <c r="O1" s="13"/>
      <c r="P1" s="13"/>
      <c r="Q1" s="3"/>
      <c r="R1" s="3"/>
      <c r="S1" s="3"/>
      <c r="T1" s="3"/>
      <c r="U1" s="3"/>
    </row>
    <row r="2" spans="3:21" ht="15.75"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  <c r="N2" s="14"/>
      <c r="O2" s="13"/>
      <c r="Q2" s="3"/>
      <c r="R2" s="3"/>
      <c r="S2" s="3"/>
      <c r="T2" s="3"/>
      <c r="U2" s="3"/>
    </row>
    <row r="3" spans="17:21" ht="15.75">
      <c r="Q3" s="60" t="s">
        <v>139</v>
      </c>
      <c r="R3" s="3"/>
      <c r="S3" s="60" t="s">
        <v>140</v>
      </c>
      <c r="T3" s="3"/>
      <c r="U3" s="3"/>
    </row>
    <row r="4" spans="17:21" ht="15.75">
      <c r="Q4" s="3"/>
      <c r="R4" s="3"/>
      <c r="S4" s="3"/>
      <c r="T4" s="3"/>
      <c r="U4" s="3"/>
    </row>
    <row r="5" spans="2:21" ht="17.25" customHeight="1">
      <c r="B5" s="1" t="s">
        <v>83</v>
      </c>
      <c r="C5" s="1"/>
      <c r="D5" s="1"/>
      <c r="E5" s="1"/>
      <c r="F5" s="1"/>
      <c r="G5" s="1"/>
      <c r="H5" s="1"/>
      <c r="I5" s="1"/>
      <c r="J5" s="1"/>
      <c r="K5" s="1"/>
      <c r="L5" s="1"/>
      <c r="M5" s="70"/>
      <c r="N5" s="70"/>
      <c r="O5" s="1"/>
      <c r="P5" s="1" t="s">
        <v>70</v>
      </c>
      <c r="Q5" s="2" t="s">
        <v>71</v>
      </c>
      <c r="R5" s="2" t="s">
        <v>72</v>
      </c>
      <c r="S5" s="2" t="s">
        <v>20</v>
      </c>
      <c r="T5" s="2" t="s">
        <v>21</v>
      </c>
      <c r="U5" s="2" t="s">
        <v>73</v>
      </c>
    </row>
    <row r="6" spans="2:21" ht="19.5" customHeight="1">
      <c r="B6" s="1" t="s">
        <v>67</v>
      </c>
      <c r="C6" s="53" t="s">
        <v>86</v>
      </c>
      <c r="D6" s="1" t="s">
        <v>199</v>
      </c>
      <c r="E6" s="1" t="s">
        <v>195</v>
      </c>
      <c r="F6" s="1" t="s">
        <v>189</v>
      </c>
      <c r="G6" s="1" t="s">
        <v>190</v>
      </c>
      <c r="H6" s="1" t="s">
        <v>185</v>
      </c>
      <c r="I6" s="1" t="s">
        <v>174</v>
      </c>
      <c r="J6" s="86" t="s">
        <v>178</v>
      </c>
      <c r="K6" s="70" t="s">
        <v>176</v>
      </c>
      <c r="L6" s="1" t="s">
        <v>177</v>
      </c>
      <c r="M6" s="86" t="s">
        <v>167</v>
      </c>
      <c r="N6" s="70" t="s">
        <v>161</v>
      </c>
      <c r="O6" s="1" t="s">
        <v>87</v>
      </c>
      <c r="P6" s="1" t="s">
        <v>59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</row>
    <row r="7" spans="2:24" ht="15.75">
      <c r="B7" s="17" t="s">
        <v>24</v>
      </c>
      <c r="C7" s="54" t="s">
        <v>111</v>
      </c>
      <c r="D7" s="87">
        <v>671019</v>
      </c>
      <c r="E7" s="87">
        <v>608153</v>
      </c>
      <c r="F7" s="87">
        <v>941995</v>
      </c>
      <c r="G7" s="87">
        <v>934682</v>
      </c>
      <c r="H7" s="87">
        <v>847131</v>
      </c>
      <c r="I7" s="87">
        <v>892039</v>
      </c>
      <c r="J7" s="87">
        <v>939174</v>
      </c>
      <c r="K7" s="87">
        <v>825963</v>
      </c>
      <c r="L7" s="87">
        <v>989102</v>
      </c>
      <c r="M7" s="87">
        <v>1073219</v>
      </c>
      <c r="N7" s="71">
        <v>990192</v>
      </c>
      <c r="O7" s="25">
        <v>960117</v>
      </c>
      <c r="P7" s="25">
        <v>774092</v>
      </c>
      <c r="Q7" s="25">
        <v>724606</v>
      </c>
      <c r="R7" s="25">
        <v>663688</v>
      </c>
      <c r="S7" s="25">
        <v>504568</v>
      </c>
      <c r="T7" s="25">
        <v>699134</v>
      </c>
      <c r="U7" s="25">
        <v>424988</v>
      </c>
      <c r="W7" s="49"/>
      <c r="X7" s="49"/>
    </row>
    <row r="8" spans="2:24" ht="15.75">
      <c r="B8" s="17" t="s">
        <v>34</v>
      </c>
      <c r="C8" s="54" t="s">
        <v>112</v>
      </c>
      <c r="D8" s="87">
        <f>239110+310562</f>
        <v>549672</v>
      </c>
      <c r="E8" s="87">
        <f>213087+387945</f>
        <v>601032</v>
      </c>
      <c r="F8" s="87">
        <f>301522+437759</f>
        <v>739281</v>
      </c>
      <c r="G8" s="87">
        <f>295843+479282</f>
        <v>775125</v>
      </c>
      <c r="H8" s="87">
        <f>307205+456849</f>
        <v>764054</v>
      </c>
      <c r="I8" s="87">
        <f>396412+451480</f>
        <v>847892</v>
      </c>
      <c r="J8" s="87">
        <f>385222+416269</f>
        <v>801491</v>
      </c>
      <c r="K8" s="87">
        <f>322296+423021</f>
        <v>745317</v>
      </c>
      <c r="L8" s="87">
        <f>354586+486886</f>
        <v>841472</v>
      </c>
      <c r="M8" s="87">
        <f>364251+405976</f>
        <v>770227</v>
      </c>
      <c r="N8" s="71">
        <f>341003+384035</f>
        <v>725038</v>
      </c>
      <c r="O8" s="25">
        <f>380717+370757</f>
        <v>751474</v>
      </c>
      <c r="P8" s="25">
        <v>852489</v>
      </c>
      <c r="Q8" s="25">
        <v>686615</v>
      </c>
      <c r="R8" s="25">
        <v>559849</v>
      </c>
      <c r="S8" s="25">
        <v>453655</v>
      </c>
      <c r="T8" s="25">
        <v>513921</v>
      </c>
      <c r="U8" s="25">
        <v>400188</v>
      </c>
      <c r="X8" s="49"/>
    </row>
    <row r="9" spans="2:24" ht="15.75">
      <c r="B9" s="17" t="s">
        <v>36</v>
      </c>
      <c r="C9" s="54" t="s">
        <v>113</v>
      </c>
      <c r="D9" s="87">
        <v>532274</v>
      </c>
      <c r="E9" s="87">
        <v>625059</v>
      </c>
      <c r="F9" s="87">
        <v>631370</v>
      </c>
      <c r="G9" s="87">
        <v>370102</v>
      </c>
      <c r="H9" s="87">
        <v>408721</v>
      </c>
      <c r="I9" s="87">
        <v>526568</v>
      </c>
      <c r="J9" s="87">
        <v>327539</v>
      </c>
      <c r="K9" s="87">
        <v>530151</v>
      </c>
      <c r="L9" s="87">
        <v>459443</v>
      </c>
      <c r="M9" s="87">
        <v>590126</v>
      </c>
      <c r="N9" s="71">
        <v>610411</v>
      </c>
      <c r="O9" s="25">
        <v>512110</v>
      </c>
      <c r="P9" s="25">
        <v>519102</v>
      </c>
      <c r="Q9" s="25">
        <v>408973</v>
      </c>
      <c r="R9" s="25">
        <v>368244</v>
      </c>
      <c r="S9" s="25">
        <v>413531</v>
      </c>
      <c r="T9" s="25">
        <v>713339</v>
      </c>
      <c r="U9" s="25">
        <v>154440</v>
      </c>
      <c r="X9" s="49"/>
    </row>
    <row r="10" spans="2:21" ht="15.75">
      <c r="B10" s="17" t="s">
        <v>25</v>
      </c>
      <c r="C10" s="54" t="s">
        <v>114</v>
      </c>
      <c r="D10" s="87">
        <v>1902042</v>
      </c>
      <c r="E10" s="87">
        <v>1977891</v>
      </c>
      <c r="F10" s="87">
        <v>2492719</v>
      </c>
      <c r="G10" s="87">
        <v>2249453</v>
      </c>
      <c r="H10" s="87">
        <v>2149021</v>
      </c>
      <c r="I10" s="87">
        <v>2276176</v>
      </c>
      <c r="J10" s="87">
        <v>2074001</v>
      </c>
      <c r="K10" s="87">
        <v>2105672</v>
      </c>
      <c r="L10" s="87">
        <v>2306928</v>
      </c>
      <c r="M10" s="87">
        <v>2445738</v>
      </c>
      <c r="N10" s="71">
        <v>2332978</v>
      </c>
      <c r="O10" s="25">
        <v>2238391</v>
      </c>
      <c r="P10" s="25">
        <v>2171032</v>
      </c>
      <c r="Q10" s="25">
        <v>1833673</v>
      </c>
      <c r="R10" s="25">
        <v>1610398</v>
      </c>
      <c r="S10" s="25">
        <v>1399589</v>
      </c>
      <c r="T10" s="25">
        <v>1970206</v>
      </c>
      <c r="U10" s="25">
        <v>998194</v>
      </c>
    </row>
    <row r="11" spans="2:21" ht="15.75">
      <c r="B11" s="17" t="s">
        <v>26</v>
      </c>
      <c r="C11" s="54" t="s">
        <v>115</v>
      </c>
      <c r="D11" s="87">
        <f>D10+1669235</f>
        <v>3571277</v>
      </c>
      <c r="E11" s="87">
        <f>E10+1463370</f>
        <v>3441261</v>
      </c>
      <c r="F11" s="87">
        <f>F10+1836565</f>
        <v>4329284</v>
      </c>
      <c r="G11" s="87">
        <f>G10+1798484</f>
        <v>4047937</v>
      </c>
      <c r="H11" s="87">
        <f>H10+1754017</f>
        <v>3903038</v>
      </c>
      <c r="I11" s="87">
        <f>I10+1722621</f>
        <v>3998797</v>
      </c>
      <c r="J11" s="87">
        <f>J10+1586134</f>
        <v>3660135</v>
      </c>
      <c r="K11" s="87">
        <f>K10+1618904</f>
        <v>3724576</v>
      </c>
      <c r="L11" s="87">
        <f>L10+1621505</f>
        <v>3928433</v>
      </c>
      <c r="M11" s="87">
        <f>2445738+1501954</f>
        <v>3947692</v>
      </c>
      <c r="N11" s="71">
        <f>2332978+1362585</f>
        <v>3695563</v>
      </c>
      <c r="O11" s="25">
        <f>1256470+2238391</f>
        <v>3494861</v>
      </c>
      <c r="P11" s="25">
        <v>3380261</v>
      </c>
      <c r="Q11" s="25">
        <v>3058456</v>
      </c>
      <c r="R11" s="25">
        <v>2809152</v>
      </c>
      <c r="S11" s="25">
        <v>2522863</v>
      </c>
      <c r="T11" s="25">
        <v>2761234</v>
      </c>
      <c r="U11" s="25">
        <v>1600518</v>
      </c>
    </row>
    <row r="12" spans="2:21" ht="15.75">
      <c r="B12" s="17" t="s">
        <v>35</v>
      </c>
      <c r="C12" s="54" t="s">
        <v>116</v>
      </c>
      <c r="D12" s="87">
        <f>472025+328568</f>
        <v>800593</v>
      </c>
      <c r="E12" s="87">
        <f>397655+293094</f>
        <v>690749</v>
      </c>
      <c r="F12" s="87">
        <f>541618+513503</f>
        <v>1055121</v>
      </c>
      <c r="G12" s="87">
        <f>557080+470094</f>
        <v>1027174</v>
      </c>
      <c r="H12" s="87">
        <f>493192+432564</f>
        <v>925756</v>
      </c>
      <c r="I12" s="87">
        <f>701696+529459</f>
        <v>1231155</v>
      </c>
      <c r="J12" s="87">
        <f>601357+462926</f>
        <v>1064283</v>
      </c>
      <c r="K12" s="87">
        <f>516427+418991</f>
        <v>935418</v>
      </c>
      <c r="L12" s="87">
        <f>690470+468469</f>
        <v>1158939</v>
      </c>
      <c r="M12" s="87">
        <f>740321+382364</f>
        <v>1122685</v>
      </c>
      <c r="N12" s="71">
        <f>678244+368324</f>
        <v>1046568</v>
      </c>
      <c r="O12" s="30">
        <f>697682+388852</f>
        <v>1086534</v>
      </c>
      <c r="P12" s="29">
        <v>915956</v>
      </c>
      <c r="Q12" s="30">
        <v>929271</v>
      </c>
      <c r="R12" s="30">
        <v>827999</v>
      </c>
      <c r="S12" s="29">
        <v>630361</v>
      </c>
      <c r="T12" s="29">
        <v>762458</v>
      </c>
      <c r="U12" s="31">
        <v>514937</v>
      </c>
    </row>
    <row r="13" spans="2:21" ht="15.75">
      <c r="B13" s="20" t="s">
        <v>27</v>
      </c>
      <c r="C13" s="54" t="s">
        <v>117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71"/>
      <c r="O13" s="27"/>
      <c r="P13" s="26"/>
      <c r="Q13" s="27"/>
      <c r="R13" s="27"/>
      <c r="S13" s="27"/>
      <c r="T13" s="27"/>
      <c r="U13" s="27"/>
    </row>
    <row r="14" spans="2:21" ht="15.75">
      <c r="B14" s="17" t="s">
        <v>28</v>
      </c>
      <c r="C14" s="54" t="s">
        <v>118</v>
      </c>
      <c r="D14" s="87">
        <v>940726</v>
      </c>
      <c r="E14" s="87">
        <v>864186</v>
      </c>
      <c r="F14" s="87">
        <v>1595540</v>
      </c>
      <c r="G14" s="87">
        <v>1597026</v>
      </c>
      <c r="H14" s="87">
        <v>1211649</v>
      </c>
      <c r="I14" s="87">
        <v>1537823</v>
      </c>
      <c r="J14" s="87">
        <v>1654782</v>
      </c>
      <c r="K14" s="87">
        <v>1311809</v>
      </c>
      <c r="L14" s="87">
        <v>1279879</v>
      </c>
      <c r="M14" s="87">
        <v>1355058</v>
      </c>
      <c r="N14" s="71">
        <v>1326030</v>
      </c>
      <c r="O14" s="25">
        <v>1511680</v>
      </c>
      <c r="P14" s="25">
        <v>1499788</v>
      </c>
      <c r="Q14" s="25">
        <v>1219946</v>
      </c>
      <c r="R14" s="25">
        <v>1031420</v>
      </c>
      <c r="S14" s="25">
        <v>811325</v>
      </c>
      <c r="T14" s="25">
        <v>1164622</v>
      </c>
      <c r="U14" s="25">
        <v>906918</v>
      </c>
    </row>
    <row r="15" spans="2:21" ht="15.75">
      <c r="B15" s="17" t="s">
        <v>29</v>
      </c>
      <c r="C15" s="54" t="s">
        <v>119</v>
      </c>
      <c r="D15" s="87">
        <f>D14+307444</f>
        <v>1248170</v>
      </c>
      <c r="E15" s="87">
        <f>E14+307528</f>
        <v>1171714</v>
      </c>
      <c r="F15" s="87">
        <f>F14+461441</f>
        <v>2056981</v>
      </c>
      <c r="G15" s="87">
        <f>G14+438429</f>
        <v>2035455</v>
      </c>
      <c r="H15" s="87">
        <f>H14+863540</f>
        <v>2075189</v>
      </c>
      <c r="I15" s="87">
        <f>I14+600408</f>
        <v>2138231</v>
      </c>
      <c r="J15" s="87">
        <f>J14+243958</f>
        <v>1898740</v>
      </c>
      <c r="K15" s="87">
        <f>K14+708246</f>
        <v>2020055</v>
      </c>
      <c r="L15" s="87">
        <f>L14+784227</f>
        <v>2064106</v>
      </c>
      <c r="M15" s="87">
        <f>M14+608339</f>
        <v>1963397</v>
      </c>
      <c r="N15" s="71">
        <f>1326030+381455</f>
        <v>1707485</v>
      </c>
      <c r="O15" s="25">
        <v>1520783</v>
      </c>
      <c r="P15" s="25">
        <v>1505363</v>
      </c>
      <c r="Q15" s="25">
        <v>1225862</v>
      </c>
      <c r="R15" s="25">
        <v>1046627</v>
      </c>
      <c r="S15" s="25">
        <v>853475</v>
      </c>
      <c r="T15" s="25">
        <v>1208427</v>
      </c>
      <c r="U15" s="25">
        <v>912611</v>
      </c>
    </row>
    <row r="16" spans="2:21" ht="15.75">
      <c r="B16" s="17" t="s">
        <v>6</v>
      </c>
      <c r="C16" s="54" t="s">
        <v>96</v>
      </c>
      <c r="D16" s="87">
        <v>251711</v>
      </c>
      <c r="E16" s="87">
        <v>271932</v>
      </c>
      <c r="F16" s="87">
        <v>430887</v>
      </c>
      <c r="G16" s="87">
        <v>376935</v>
      </c>
      <c r="H16" s="87">
        <v>337475</v>
      </c>
      <c r="I16" s="87">
        <v>319420</v>
      </c>
      <c r="J16" s="87">
        <v>272280</v>
      </c>
      <c r="K16" s="87">
        <v>248990</v>
      </c>
      <c r="L16" s="87">
        <v>261172</v>
      </c>
      <c r="M16" s="87">
        <v>283185</v>
      </c>
      <c r="N16" s="71">
        <v>277803</v>
      </c>
      <c r="O16" s="25">
        <v>259403</v>
      </c>
      <c r="P16" s="25">
        <v>248181</v>
      </c>
      <c r="Q16" s="25">
        <v>240494</v>
      </c>
      <c r="R16" s="25">
        <v>226960</v>
      </c>
      <c r="S16" s="25">
        <v>202652</v>
      </c>
      <c r="T16" s="25">
        <v>146437</v>
      </c>
      <c r="U16" s="25">
        <v>111688</v>
      </c>
    </row>
    <row r="17" spans="2:21" ht="15.75">
      <c r="B17" s="19" t="s">
        <v>30</v>
      </c>
      <c r="C17" s="54" t="s">
        <v>120</v>
      </c>
      <c r="D17" s="87">
        <v>2071396</v>
      </c>
      <c r="E17" s="87">
        <v>1997615</v>
      </c>
      <c r="F17" s="87">
        <v>1841416</v>
      </c>
      <c r="G17" s="87">
        <v>1635547</v>
      </c>
      <c r="H17" s="87">
        <v>1490374</v>
      </c>
      <c r="I17" s="87">
        <v>1541146</v>
      </c>
      <c r="J17" s="87">
        <v>1489115</v>
      </c>
      <c r="K17" s="87">
        <v>1455531</v>
      </c>
      <c r="L17" s="87">
        <v>1603155</v>
      </c>
      <c r="M17" s="87">
        <v>1701110</v>
      </c>
      <c r="N17" s="71">
        <v>1710275</v>
      </c>
      <c r="O17" s="25">
        <v>1714675</v>
      </c>
      <c r="P17" s="25">
        <v>1626717</v>
      </c>
      <c r="Q17" s="25">
        <v>1592100</v>
      </c>
      <c r="R17" s="25">
        <v>1535565</v>
      </c>
      <c r="S17" s="25">
        <v>1466736</v>
      </c>
      <c r="T17" s="25">
        <v>1406173</v>
      </c>
      <c r="U17" s="25">
        <v>576220</v>
      </c>
    </row>
    <row r="18" spans="2:21" ht="15.75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5"/>
      <c r="O18" s="24"/>
      <c r="P18" s="25"/>
      <c r="Q18" s="25"/>
      <c r="R18" s="25"/>
      <c r="S18" s="25"/>
      <c r="T18" s="25"/>
      <c r="U18" s="25"/>
    </row>
    <row r="19" spans="2:21" ht="15.75">
      <c r="B19" s="1" t="s">
        <v>31</v>
      </c>
      <c r="C19" s="54" t="s">
        <v>124</v>
      </c>
      <c r="D19" s="2" t="s">
        <v>202</v>
      </c>
      <c r="E19" s="2" t="s">
        <v>198</v>
      </c>
      <c r="F19" s="2" t="s">
        <v>192</v>
      </c>
      <c r="G19" s="2" t="s">
        <v>191</v>
      </c>
      <c r="H19" s="2" t="s">
        <v>186</v>
      </c>
      <c r="I19" s="2" t="s">
        <v>181</v>
      </c>
      <c r="J19" s="2" t="s">
        <v>182</v>
      </c>
      <c r="K19" s="2" t="s">
        <v>183</v>
      </c>
      <c r="L19" s="2" t="s">
        <v>184</v>
      </c>
      <c r="M19" s="2" t="s">
        <v>168</v>
      </c>
      <c r="N19" s="2" t="s">
        <v>163</v>
      </c>
      <c r="O19" s="2" t="s">
        <v>143</v>
      </c>
      <c r="P19" s="1" t="s">
        <v>70</v>
      </c>
      <c r="Q19" s="2" t="s">
        <v>71</v>
      </c>
      <c r="R19" s="2" t="s">
        <v>72</v>
      </c>
      <c r="S19" s="2" t="s">
        <v>20</v>
      </c>
      <c r="T19" s="2" t="s">
        <v>21</v>
      </c>
      <c r="U19" s="2" t="s">
        <v>73</v>
      </c>
    </row>
    <row r="20" spans="2:21" ht="15.75">
      <c r="B20" s="22" t="s">
        <v>32</v>
      </c>
      <c r="C20" s="54" t="s">
        <v>121</v>
      </c>
      <c r="D20" s="93">
        <f>D10/D14</f>
        <v>2.0218873508332926</v>
      </c>
      <c r="E20" s="93">
        <f>E10/E14</f>
        <v>2.2887329810943475</v>
      </c>
      <c r="F20" s="93">
        <f>F10/F14</f>
        <v>1.5623042982313198</v>
      </c>
      <c r="G20" s="93">
        <f>G10/G14</f>
        <v>1.408526223117219</v>
      </c>
      <c r="H20" s="93">
        <f>H10/H14</f>
        <v>1.773633288188246</v>
      </c>
      <c r="I20" s="93">
        <f aca="true" t="shared" si="0" ref="I20:N20">I10/I14</f>
        <v>1.480128727428319</v>
      </c>
      <c r="J20" s="93">
        <f t="shared" si="0"/>
        <v>1.2533379019109465</v>
      </c>
      <c r="K20" s="93">
        <f t="shared" si="0"/>
        <v>1.6051666058092298</v>
      </c>
      <c r="L20" s="93">
        <f t="shared" si="0"/>
        <v>1.8024578885972815</v>
      </c>
      <c r="M20" s="93">
        <f t="shared" si="0"/>
        <v>1.8048954362101106</v>
      </c>
      <c r="N20" s="69">
        <f t="shared" si="0"/>
        <v>1.7593704516489068</v>
      </c>
      <c r="O20" s="32">
        <f aca="true" t="shared" si="1" ref="O20:U20">O10/O14</f>
        <v>1.4807307102032177</v>
      </c>
      <c r="P20" s="32">
        <f t="shared" si="1"/>
        <v>1.4475592550413792</v>
      </c>
      <c r="Q20" s="32">
        <f t="shared" si="1"/>
        <v>1.5030771853836153</v>
      </c>
      <c r="R20" s="32">
        <f t="shared" si="1"/>
        <v>1.561340675961296</v>
      </c>
      <c r="S20" s="32">
        <f t="shared" si="1"/>
        <v>1.725065787446461</v>
      </c>
      <c r="T20" s="32">
        <f t="shared" si="1"/>
        <v>1.6917128476020546</v>
      </c>
      <c r="U20" s="32">
        <f t="shared" si="1"/>
        <v>1.1006441596704444</v>
      </c>
    </row>
    <row r="21" spans="2:21" ht="15.75">
      <c r="B21" s="22" t="s">
        <v>33</v>
      </c>
      <c r="C21" s="54" t="s">
        <v>122</v>
      </c>
      <c r="D21" s="93">
        <f>(D10-D7)/D14</f>
        <v>1.3085882605562087</v>
      </c>
      <c r="E21" s="93">
        <f>(E10-E7)/E14</f>
        <v>1.5850036913349672</v>
      </c>
      <c r="F21" s="93">
        <f>(F10-F7)/F14</f>
        <v>0.9719117038745503</v>
      </c>
      <c r="G21" s="93">
        <f>(G10-G7)/G14</f>
        <v>0.8232621134533815</v>
      </c>
      <c r="H21" s="93">
        <f>(H10-H7)/H14</f>
        <v>1.0744778397044028</v>
      </c>
      <c r="I21" s="93">
        <f aca="true" t="shared" si="2" ref="I21:N21">(I10-I7)/I14</f>
        <v>0.9000626209908422</v>
      </c>
      <c r="J21" s="93">
        <f t="shared" si="2"/>
        <v>0.6857864057017783</v>
      </c>
      <c r="K21" s="93">
        <f t="shared" si="2"/>
        <v>0.9755299742569231</v>
      </c>
      <c r="L21" s="93">
        <f t="shared" si="2"/>
        <v>1.029648896497247</v>
      </c>
      <c r="M21" s="93">
        <f t="shared" si="2"/>
        <v>1.012885795294371</v>
      </c>
      <c r="N21" s="69">
        <f t="shared" si="2"/>
        <v>1.0126362148669337</v>
      </c>
      <c r="O21" s="32">
        <f aca="true" t="shared" si="3" ref="O21:U21">(O10-O7)/O14</f>
        <v>0.8455982747671464</v>
      </c>
      <c r="P21" s="32">
        <f t="shared" si="3"/>
        <v>0.9314249747297618</v>
      </c>
      <c r="Q21" s="32">
        <f t="shared" si="3"/>
        <v>0.9091115508391355</v>
      </c>
      <c r="R21" s="32">
        <f t="shared" si="3"/>
        <v>0.9178705086191852</v>
      </c>
      <c r="S21" s="32">
        <f t="shared" si="3"/>
        <v>1.103159646257665</v>
      </c>
      <c r="T21" s="32">
        <f t="shared" si="3"/>
        <v>1.0914030475124117</v>
      </c>
      <c r="U21" s="32">
        <f t="shared" si="3"/>
        <v>0.6320372955438088</v>
      </c>
    </row>
    <row r="22" spans="2:21" ht="15.75">
      <c r="B22" s="23" t="s">
        <v>37</v>
      </c>
      <c r="C22" s="54" t="s">
        <v>123</v>
      </c>
      <c r="D22" s="94">
        <f>D15/D11</f>
        <v>0.34950243288325156</v>
      </c>
      <c r="E22" s="94">
        <f>E15/E11</f>
        <v>0.34048972164564095</v>
      </c>
      <c r="F22" s="94">
        <f>F15/F11</f>
        <v>0.475131915577726</v>
      </c>
      <c r="G22" s="94">
        <f>G15/G11</f>
        <v>0.5028376182732093</v>
      </c>
      <c r="H22" s="94">
        <f>H15/H11</f>
        <v>0.531685574160436</v>
      </c>
      <c r="I22" s="94">
        <f aca="true" t="shared" si="4" ref="I22:N22">I15/I11</f>
        <v>0.5347185666089076</v>
      </c>
      <c r="J22" s="94">
        <f t="shared" si="4"/>
        <v>0.5187622860905404</v>
      </c>
      <c r="K22" s="94">
        <f t="shared" si="4"/>
        <v>0.5423583785107352</v>
      </c>
      <c r="L22" s="94">
        <f t="shared" si="4"/>
        <v>0.5254273141479058</v>
      </c>
      <c r="M22" s="94">
        <f t="shared" si="4"/>
        <v>0.49735313697218525</v>
      </c>
      <c r="N22" s="28">
        <f t="shared" si="4"/>
        <v>0.4620365016101741</v>
      </c>
      <c r="O22" s="28">
        <f aca="true" t="shared" si="5" ref="O22:U22">O15/O11</f>
        <v>0.4351483506783245</v>
      </c>
      <c r="P22" s="28">
        <f t="shared" si="5"/>
        <v>0.44533928001417644</v>
      </c>
      <c r="Q22" s="28">
        <f t="shared" si="5"/>
        <v>0.400810735874572</v>
      </c>
      <c r="R22" s="28">
        <f t="shared" si="5"/>
        <v>0.37257756077278836</v>
      </c>
      <c r="S22" s="28">
        <f t="shared" si="5"/>
        <v>0.33829621346858707</v>
      </c>
      <c r="T22" s="28">
        <f t="shared" si="5"/>
        <v>0.43764019999753734</v>
      </c>
      <c r="U22" s="28">
        <f t="shared" si="5"/>
        <v>0.5701972736326614</v>
      </c>
    </row>
    <row r="23" spans="16:21" ht="15.75">
      <c r="P23" s="5"/>
      <c r="Q23" s="6"/>
      <c r="R23" s="5"/>
      <c r="S23" s="5"/>
      <c r="T23" s="5"/>
      <c r="U23" s="5"/>
    </row>
    <row r="24" spans="3:21" ht="15.75">
      <c r="C24" s="56"/>
      <c r="D24" s="108">
        <f>D11-D15-D16-D17</f>
        <v>0</v>
      </c>
      <c r="E24" s="108">
        <f>E11-E15-E16-E17</f>
        <v>0</v>
      </c>
      <c r="F24" s="108">
        <f>F11-F15-F16-F17</f>
        <v>0</v>
      </c>
      <c r="G24" s="108">
        <f>G11-G15-G16-G17</f>
        <v>0</v>
      </c>
      <c r="H24" s="108">
        <f>H11-H15-H16-H17</f>
        <v>0</v>
      </c>
      <c r="I24" s="108">
        <f aca="true" t="shared" si="6" ref="I24:N24">I11-I15-I16-I17</f>
        <v>0</v>
      </c>
      <c r="J24" s="108">
        <f t="shared" si="6"/>
        <v>0</v>
      </c>
      <c r="K24" s="108">
        <f t="shared" si="6"/>
        <v>0</v>
      </c>
      <c r="L24" s="108">
        <f t="shared" si="6"/>
        <v>0</v>
      </c>
      <c r="M24" s="108">
        <f t="shared" si="6"/>
        <v>0</v>
      </c>
      <c r="N24" s="108">
        <f t="shared" si="6"/>
        <v>0</v>
      </c>
      <c r="O24" s="56"/>
      <c r="P24" s="4"/>
      <c r="Q24" s="4"/>
      <c r="R24" s="4"/>
      <c r="S24" s="4"/>
      <c r="T24" s="4"/>
      <c r="U24" s="4"/>
    </row>
    <row r="25" spans="3:21" ht="15.7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25"/>
      <c r="O25" s="24"/>
      <c r="P25" s="4"/>
      <c r="Q25" s="4"/>
      <c r="R25" s="4"/>
      <c r="S25" s="4"/>
      <c r="T25" s="4"/>
      <c r="U25" s="4"/>
    </row>
    <row r="26" spans="3:15" ht="15.7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25"/>
      <c r="O26" s="24"/>
    </row>
    <row r="27" spans="3:15" ht="15.7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5"/>
      <c r="O27" s="24"/>
    </row>
    <row r="28" spans="3:15" ht="15.7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5"/>
      <c r="O28" s="24"/>
    </row>
    <row r="29" spans="3:15" ht="15.7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5"/>
      <c r="O29" s="24"/>
    </row>
    <row r="30" spans="3:15" ht="15.7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5"/>
      <c r="O3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V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7" sqref="D17"/>
    </sheetView>
  </sheetViews>
  <sheetFormatPr defaultColWidth="9.00390625" defaultRowHeight="15.75"/>
  <cols>
    <col min="1" max="1" width="3.375" style="0" customWidth="1"/>
    <col min="2" max="2" width="31.125" style="0" customWidth="1"/>
    <col min="3" max="3" width="25.125" style="0" customWidth="1"/>
    <col min="4" max="13" width="11.00390625" style="0" customWidth="1"/>
    <col min="14" max="14" width="9.25390625" style="60" customWidth="1"/>
    <col min="15" max="15" width="9.75390625" style="0" customWidth="1"/>
    <col min="16" max="16" width="11.125" style="0" hidden="1" customWidth="1"/>
    <col min="17" max="17" width="10.875" style="0" customWidth="1"/>
    <col min="18" max="18" width="11.875" style="0" customWidth="1"/>
  </cols>
  <sheetData>
    <row r="1" spans="1:21" ht="15.7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4"/>
      <c r="R1" s="14"/>
      <c r="S1" s="14"/>
      <c r="T1" s="14"/>
      <c r="U1" s="14"/>
    </row>
    <row r="2" spans="3:21" ht="15.7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3"/>
      <c r="Q2" s="3"/>
      <c r="R2" s="3"/>
      <c r="S2" s="3"/>
      <c r="T2" s="3"/>
      <c r="U2" s="3"/>
    </row>
    <row r="3" spans="1:21" ht="15.75">
      <c r="A3" s="13"/>
      <c r="B3" s="13"/>
      <c r="P3" s="13"/>
      <c r="Q3" s="60" t="s">
        <v>139</v>
      </c>
      <c r="R3" s="3"/>
      <c r="S3" s="60" t="s">
        <v>140</v>
      </c>
      <c r="T3" s="14"/>
      <c r="U3" s="14"/>
    </row>
    <row r="4" spans="1:21" ht="15.75">
      <c r="A4" s="13"/>
      <c r="B4" s="13"/>
      <c r="P4" s="13"/>
      <c r="Q4" s="14"/>
      <c r="R4" s="14"/>
      <c r="S4" s="14"/>
      <c r="T4" s="14"/>
      <c r="U4" s="14"/>
    </row>
    <row r="5" spans="1:21" ht="15.75">
      <c r="A5" s="13"/>
      <c r="B5" s="1" t="s">
        <v>83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0"/>
      <c r="O5" s="1"/>
      <c r="P5" s="1" t="s">
        <v>70</v>
      </c>
      <c r="Q5" s="2" t="s">
        <v>71</v>
      </c>
      <c r="R5" s="2" t="s">
        <v>72</v>
      </c>
      <c r="S5" s="2" t="s">
        <v>20</v>
      </c>
      <c r="T5" s="2" t="s">
        <v>21</v>
      </c>
      <c r="U5" s="2" t="s">
        <v>73</v>
      </c>
    </row>
    <row r="6" spans="1:21" ht="15.75">
      <c r="A6" s="13"/>
      <c r="B6" s="1" t="s">
        <v>68</v>
      </c>
      <c r="C6" s="53" t="s">
        <v>86</v>
      </c>
      <c r="D6" s="1" t="s">
        <v>199</v>
      </c>
      <c r="E6" s="1" t="s">
        <v>195</v>
      </c>
      <c r="F6" s="1" t="s">
        <v>189</v>
      </c>
      <c r="G6" s="1" t="s">
        <v>190</v>
      </c>
      <c r="H6" s="1" t="s">
        <v>185</v>
      </c>
      <c r="I6" s="1" t="s">
        <v>174</v>
      </c>
      <c r="J6" s="53" t="s">
        <v>178</v>
      </c>
      <c r="K6" s="70" t="s">
        <v>176</v>
      </c>
      <c r="L6" s="1" t="s">
        <v>177</v>
      </c>
      <c r="M6" s="53" t="s">
        <v>170</v>
      </c>
      <c r="N6" s="70" t="s">
        <v>161</v>
      </c>
      <c r="O6" s="1" t="s">
        <v>87</v>
      </c>
      <c r="P6" s="1" t="s">
        <v>59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</row>
    <row r="7" spans="1:21" ht="15.75">
      <c r="A7" s="13"/>
      <c r="B7" s="17" t="s">
        <v>43</v>
      </c>
      <c r="C7" s="17" t="s">
        <v>125</v>
      </c>
      <c r="D7" s="90">
        <v>341164</v>
      </c>
      <c r="E7" s="90">
        <v>236519</v>
      </c>
      <c r="F7" s="90">
        <v>530127</v>
      </c>
      <c r="G7" s="90">
        <v>373480</v>
      </c>
      <c r="H7" s="90">
        <v>-87219</v>
      </c>
      <c r="I7" s="90">
        <v>411096</v>
      </c>
      <c r="J7" s="90">
        <v>187920</v>
      </c>
      <c r="K7" s="90">
        <v>145709</v>
      </c>
      <c r="L7" s="90">
        <v>91745</v>
      </c>
      <c r="M7" s="90">
        <v>107909</v>
      </c>
      <c r="N7" s="74">
        <v>230252</v>
      </c>
      <c r="O7" s="59">
        <v>230658</v>
      </c>
      <c r="P7" s="25">
        <v>-76483</v>
      </c>
      <c r="Q7" s="25">
        <v>183552</v>
      </c>
      <c r="R7" s="25">
        <v>167947</v>
      </c>
      <c r="S7" s="25">
        <v>362025</v>
      </c>
      <c r="T7" s="25">
        <v>171291</v>
      </c>
      <c r="U7" s="25">
        <v>105814</v>
      </c>
    </row>
    <row r="8" spans="1:21" ht="15.75">
      <c r="A8" s="13"/>
      <c r="B8" s="17" t="s">
        <v>38</v>
      </c>
      <c r="C8" s="17" t="s">
        <v>126</v>
      </c>
      <c r="D8" s="90">
        <v>-347728</v>
      </c>
      <c r="E8" s="90">
        <v>-144703</v>
      </c>
      <c r="F8" s="90">
        <v>-108270</v>
      </c>
      <c r="G8" s="90">
        <v>-74812</v>
      </c>
      <c r="H8" s="90">
        <v>-204904</v>
      </c>
      <c r="I8" s="90">
        <v>-223654</v>
      </c>
      <c r="J8" s="90">
        <v>-54129</v>
      </c>
      <c r="K8" s="90">
        <v>-162301</v>
      </c>
      <c r="L8" s="90">
        <v>-244734</v>
      </c>
      <c r="M8" s="90">
        <v>-267301</v>
      </c>
      <c r="N8" s="74">
        <v>-232729</v>
      </c>
      <c r="O8" s="59">
        <v>-163144</v>
      </c>
      <c r="P8" s="25">
        <v>-60961</v>
      </c>
      <c r="Q8" s="25">
        <v>-149641</v>
      </c>
      <c r="R8" s="25">
        <v>-170380</v>
      </c>
      <c r="S8" s="25">
        <v>-369540</v>
      </c>
      <c r="T8" s="25">
        <v>-295307</v>
      </c>
      <c r="U8" s="25">
        <v>-56224</v>
      </c>
    </row>
    <row r="9" spans="1:21" ht="15.75">
      <c r="A9" s="13"/>
      <c r="B9" s="17" t="s">
        <v>39</v>
      </c>
      <c r="C9" s="17" t="s">
        <v>127</v>
      </c>
      <c r="D9" s="91">
        <v>-87720</v>
      </c>
      <c r="E9" s="91">
        <v>-100904</v>
      </c>
      <c r="F9" s="91">
        <v>-141677</v>
      </c>
      <c r="G9" s="91">
        <v>-340421</v>
      </c>
      <c r="H9" s="91">
        <v>168071</v>
      </c>
      <c r="I9" s="91">
        <v>18161</v>
      </c>
      <c r="J9" s="91">
        <v>-341073</v>
      </c>
      <c r="K9" s="91">
        <v>90017</v>
      </c>
      <c r="L9" s="91">
        <v>26676</v>
      </c>
      <c r="M9" s="91">
        <v>147012</v>
      </c>
      <c r="N9" s="75">
        <v>99105</v>
      </c>
      <c r="O9" s="59">
        <v>65286</v>
      </c>
      <c r="P9" s="25">
        <v>255886</v>
      </c>
      <c r="Q9" s="25">
        <v>26376</v>
      </c>
      <c r="R9" s="25">
        <v>-52338</v>
      </c>
      <c r="S9" s="25">
        <v>-248219</v>
      </c>
      <c r="T9" s="25">
        <v>692500</v>
      </c>
      <c r="U9" s="25">
        <v>-37792</v>
      </c>
    </row>
    <row r="10" spans="1:21" ht="15.75">
      <c r="A10" s="13"/>
      <c r="B10" s="17" t="s">
        <v>40</v>
      </c>
      <c r="C10" s="17" t="s">
        <v>128</v>
      </c>
      <c r="D10" s="90">
        <f aca="true" t="shared" si="0" ref="D10:L10">SUM(D7:D9)</f>
        <v>-94284</v>
      </c>
      <c r="E10" s="90">
        <f t="shared" si="0"/>
        <v>-9088</v>
      </c>
      <c r="F10" s="90">
        <f t="shared" si="0"/>
        <v>280180</v>
      </c>
      <c r="G10" s="90">
        <f t="shared" si="0"/>
        <v>-41753</v>
      </c>
      <c r="H10" s="90">
        <f t="shared" si="0"/>
        <v>-124052</v>
      </c>
      <c r="I10" s="90">
        <f t="shared" si="0"/>
        <v>205603</v>
      </c>
      <c r="J10" s="90">
        <f t="shared" si="0"/>
        <v>-207282</v>
      </c>
      <c r="K10" s="90">
        <f t="shared" si="0"/>
        <v>73425</v>
      </c>
      <c r="L10" s="90">
        <f t="shared" si="0"/>
        <v>-126313</v>
      </c>
      <c r="M10" s="90">
        <v>-12380</v>
      </c>
      <c r="N10" s="74">
        <v>96628</v>
      </c>
      <c r="O10" s="59">
        <v>132800</v>
      </c>
      <c r="P10" s="25">
        <v>118442</v>
      </c>
      <c r="Q10" s="25">
        <v>60287</v>
      </c>
      <c r="R10" s="25">
        <v>-54771</v>
      </c>
      <c r="S10" s="25">
        <v>-255734</v>
      </c>
      <c r="T10" s="25">
        <v>568484</v>
      </c>
      <c r="U10" s="25">
        <v>11798</v>
      </c>
    </row>
    <row r="11" spans="1:21" ht="15.75">
      <c r="A11" s="13"/>
      <c r="B11" s="17" t="s">
        <v>41</v>
      </c>
      <c r="C11" s="17" t="s">
        <v>129</v>
      </c>
      <c r="D11" s="90">
        <f>E13</f>
        <v>625059</v>
      </c>
      <c r="E11" s="90">
        <f>F13</f>
        <v>631370</v>
      </c>
      <c r="F11" s="90">
        <f aca="true" t="shared" si="1" ref="F11:L11">G13</f>
        <v>370102</v>
      </c>
      <c r="G11" s="90">
        <f t="shared" si="1"/>
        <v>408721</v>
      </c>
      <c r="H11" s="90">
        <f t="shared" si="1"/>
        <v>526568</v>
      </c>
      <c r="I11" s="90">
        <f t="shared" si="1"/>
        <v>327539</v>
      </c>
      <c r="J11" s="90">
        <f t="shared" si="1"/>
        <v>530151</v>
      </c>
      <c r="K11" s="90">
        <f t="shared" si="1"/>
        <v>459443</v>
      </c>
      <c r="L11" s="90">
        <f t="shared" si="1"/>
        <v>590126</v>
      </c>
      <c r="M11" s="90">
        <v>610411</v>
      </c>
      <c r="N11" s="74">
        <v>512110</v>
      </c>
      <c r="O11" s="59">
        <v>408973</v>
      </c>
      <c r="P11" s="25">
        <v>408973</v>
      </c>
      <c r="Q11" s="25">
        <v>368244</v>
      </c>
      <c r="R11" s="25">
        <v>413012</v>
      </c>
      <c r="S11" s="25">
        <v>712772</v>
      </c>
      <c r="T11" s="25">
        <v>154310</v>
      </c>
      <c r="U11" s="25">
        <v>148609</v>
      </c>
    </row>
    <row r="12" spans="1:22" ht="15.75">
      <c r="A12" s="13"/>
      <c r="B12" s="17" t="s">
        <v>44</v>
      </c>
      <c r="C12" s="17" t="s">
        <v>130</v>
      </c>
      <c r="D12" s="90">
        <v>1499</v>
      </c>
      <c r="E12" s="90">
        <v>2777</v>
      </c>
      <c r="F12" s="90">
        <v>-18912</v>
      </c>
      <c r="G12" s="90">
        <v>3134</v>
      </c>
      <c r="H12" s="90">
        <v>6205</v>
      </c>
      <c r="I12" s="90">
        <v>-6574</v>
      </c>
      <c r="J12" s="90">
        <v>4670</v>
      </c>
      <c r="K12" s="90">
        <v>-2717</v>
      </c>
      <c r="L12" s="90">
        <v>-4370</v>
      </c>
      <c r="M12" s="90">
        <v>-7905</v>
      </c>
      <c r="N12" s="74">
        <v>1673</v>
      </c>
      <c r="O12" s="92">
        <v>-29663</v>
      </c>
      <c r="P12" s="50">
        <v>-8313</v>
      </c>
      <c r="Q12" s="51">
        <v>-19558</v>
      </c>
      <c r="R12" s="51">
        <v>10003</v>
      </c>
      <c r="S12" s="50">
        <v>-44026</v>
      </c>
      <c r="T12" s="52">
        <v>-10022</v>
      </c>
      <c r="U12" s="52">
        <v>-6097</v>
      </c>
      <c r="V12" s="41"/>
    </row>
    <row r="13" spans="1:21" ht="15.75">
      <c r="A13" s="13"/>
      <c r="B13" s="19" t="s">
        <v>42</v>
      </c>
      <c r="C13" s="19" t="s">
        <v>131</v>
      </c>
      <c r="D13" s="90">
        <f aca="true" t="shared" si="2" ref="D13:L13">SUM(D10:D12)</f>
        <v>532274</v>
      </c>
      <c r="E13" s="90">
        <f t="shared" si="2"/>
        <v>625059</v>
      </c>
      <c r="F13" s="90">
        <f t="shared" si="2"/>
        <v>631370</v>
      </c>
      <c r="G13" s="90">
        <f t="shared" si="2"/>
        <v>370102</v>
      </c>
      <c r="H13" s="90">
        <f t="shared" si="2"/>
        <v>408721</v>
      </c>
      <c r="I13" s="90">
        <f t="shared" si="2"/>
        <v>526568</v>
      </c>
      <c r="J13" s="90">
        <f t="shared" si="2"/>
        <v>327539</v>
      </c>
      <c r="K13" s="90">
        <f t="shared" si="2"/>
        <v>530151</v>
      </c>
      <c r="L13" s="90">
        <f t="shared" si="2"/>
        <v>459443</v>
      </c>
      <c r="M13" s="90">
        <v>590126</v>
      </c>
      <c r="N13" s="74">
        <v>610411</v>
      </c>
      <c r="O13" s="34">
        <v>512110</v>
      </c>
      <c r="P13" s="33">
        <v>519102</v>
      </c>
      <c r="Q13" s="33">
        <v>408973</v>
      </c>
      <c r="R13" s="33">
        <v>368244</v>
      </c>
      <c r="S13" s="34">
        <v>413012</v>
      </c>
      <c r="T13" s="34">
        <v>712772</v>
      </c>
      <c r="U13" s="34">
        <v>154310</v>
      </c>
    </row>
    <row r="14" spans="2:21" ht="15.75">
      <c r="B14" s="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4"/>
      <c r="P14" s="3"/>
      <c r="Q14" s="3"/>
      <c r="R14" s="3"/>
      <c r="S14" s="3"/>
      <c r="T14" s="3"/>
      <c r="U14" s="3"/>
    </row>
    <row r="15" spans="2:21" ht="15.75">
      <c r="B15" s="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4"/>
      <c r="P15" s="11"/>
      <c r="Q15" s="11"/>
      <c r="R15" s="11"/>
      <c r="S15" s="11"/>
      <c r="T15" s="11"/>
      <c r="U15" s="11"/>
    </row>
    <row r="16" spans="2:21" ht="15.75">
      <c r="B16" s="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4"/>
      <c r="P16" s="8"/>
      <c r="Q16" s="8"/>
      <c r="R16" s="8"/>
      <c r="S16" s="8"/>
      <c r="T16" s="8"/>
      <c r="U16" s="8"/>
    </row>
    <row r="17" spans="2:21" ht="15.75">
      <c r="B17" s="9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8"/>
      <c r="Q17" s="8"/>
      <c r="R17" s="8"/>
      <c r="S17" s="8"/>
      <c r="T17" s="8"/>
      <c r="U17" s="8"/>
    </row>
    <row r="18" spans="2:21" ht="15.75">
      <c r="B18" s="10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4"/>
      <c r="Q18" s="4"/>
      <c r="R18" s="4"/>
      <c r="S18" s="4"/>
      <c r="T18" s="4"/>
      <c r="U18" s="4"/>
    </row>
    <row r="19" spans="3:15" ht="15.7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4"/>
    </row>
    <row r="20" spans="3:15" ht="15.75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4"/>
    </row>
    <row r="21" spans="3:15" ht="15.75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4"/>
    </row>
    <row r="22" spans="3:17" ht="15.75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9"/>
      <c r="O22" s="46"/>
      <c r="P22" s="88"/>
      <c r="Q22" s="88"/>
    </row>
    <row r="23" spans="3:17" ht="15.75"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9"/>
      <c r="O23" s="88"/>
      <c r="P23" s="88"/>
      <c r="Q23" s="88"/>
    </row>
    <row r="24" spans="3:17" ht="15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73"/>
      <c r="O24" s="56"/>
      <c r="P24" s="88"/>
      <c r="Q24" s="88"/>
    </row>
    <row r="25" spans="3:15" ht="15.7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4"/>
    </row>
    <row r="26" spans="3:15" ht="15.7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4"/>
    </row>
    <row r="27" spans="3:15" ht="15.7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4"/>
    </row>
    <row r="28" spans="3:15" ht="15.7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24"/>
    </row>
    <row r="29" spans="3:15" ht="15.7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4"/>
    </row>
    <row r="30" spans="3:15" ht="15.7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4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W3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" sqref="D7"/>
    </sheetView>
  </sheetViews>
  <sheetFormatPr defaultColWidth="9.00390625" defaultRowHeight="15.75"/>
  <cols>
    <col min="1" max="1" width="3.00390625" style="0" customWidth="1"/>
    <col min="2" max="2" width="27.75390625" style="0" customWidth="1"/>
    <col min="3" max="3" width="31.875" style="0" customWidth="1"/>
    <col min="4" max="13" width="8.25390625" style="0" customWidth="1"/>
    <col min="14" max="14" width="9.625" style="0" customWidth="1"/>
    <col min="15" max="15" width="12.25390625" style="0" customWidth="1"/>
    <col min="16" max="16" width="0" style="0" hidden="1" customWidth="1"/>
    <col min="22" max="22" width="13.125" style="0" customWidth="1"/>
  </cols>
  <sheetData>
    <row r="1" spans="1:21" ht="15.7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4"/>
      <c r="S1" s="14"/>
      <c r="T1" s="14"/>
      <c r="U1" s="14"/>
    </row>
    <row r="2" spans="1:21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  <c r="R2" s="14"/>
      <c r="S2" s="14"/>
      <c r="T2" s="14"/>
      <c r="U2" s="14"/>
    </row>
    <row r="3" spans="1:21" ht="15.75">
      <c r="A3" s="13"/>
      <c r="B3" s="13"/>
      <c r="P3" s="13"/>
      <c r="Q3" s="60" t="s">
        <v>139</v>
      </c>
      <c r="R3" s="3"/>
      <c r="S3" s="60" t="s">
        <v>140</v>
      </c>
      <c r="T3" s="14"/>
      <c r="U3" s="14"/>
    </row>
    <row r="4" spans="1:21" ht="15.75">
      <c r="A4" s="13"/>
      <c r="B4" s="13"/>
      <c r="P4" s="13"/>
      <c r="Q4" s="14"/>
      <c r="R4" s="14"/>
      <c r="S4" s="14"/>
      <c r="T4" s="14"/>
      <c r="U4" s="14"/>
    </row>
    <row r="5" spans="1:22" ht="108">
      <c r="A5" s="13"/>
      <c r="B5" s="1" t="s">
        <v>49</v>
      </c>
      <c r="C5" s="1" t="s">
        <v>85</v>
      </c>
      <c r="D5" s="1" t="s">
        <v>200</v>
      </c>
      <c r="E5" s="1" t="s">
        <v>196</v>
      </c>
      <c r="F5" s="1" t="s">
        <v>189</v>
      </c>
      <c r="G5" s="1" t="s">
        <v>193</v>
      </c>
      <c r="H5" s="1" t="s">
        <v>187</v>
      </c>
      <c r="I5" s="1" t="s">
        <v>179</v>
      </c>
      <c r="J5" s="1" t="s">
        <v>175</v>
      </c>
      <c r="K5" s="1" t="s">
        <v>176</v>
      </c>
      <c r="L5" s="1" t="s">
        <v>180</v>
      </c>
      <c r="M5" s="1" t="s">
        <v>171</v>
      </c>
      <c r="N5" s="1" t="s">
        <v>164</v>
      </c>
      <c r="O5" s="1" t="s">
        <v>132</v>
      </c>
      <c r="P5" s="1" t="s">
        <v>74</v>
      </c>
      <c r="Q5" s="2" t="s">
        <v>75</v>
      </c>
      <c r="R5" s="2" t="s">
        <v>76</v>
      </c>
      <c r="S5" s="2" t="s">
        <v>77</v>
      </c>
      <c r="T5" s="2" t="s">
        <v>78</v>
      </c>
      <c r="U5" s="2" t="s">
        <v>79</v>
      </c>
      <c r="V5" s="67" t="s">
        <v>150</v>
      </c>
    </row>
    <row r="6" spans="1:22" ht="15.75">
      <c r="A6" s="13"/>
      <c r="B6" s="42" t="s">
        <v>50</v>
      </c>
      <c r="C6" s="55" t="s">
        <v>146</v>
      </c>
      <c r="D6" s="76">
        <f>' Income Statement 损益表'!D11*2/('Balance Sheet资产负债表'!D16+'Balance Sheet资产负债表'!D17+'Balance Sheet资产负债表'!E16+'Balance Sheet资产负债表'!E17)</f>
        <v>0.05333735134412477</v>
      </c>
      <c r="E6" s="76">
        <f>' Income Statement 损益表'!E11*2/('Balance Sheet资产负债表'!E16+'Balance Sheet资产负债表'!E17+'Balance Sheet资产负债表'!F16+'Balance Sheet资产负债表'!F17)</f>
        <v>0.08807072008102425</v>
      </c>
      <c r="F6" s="76">
        <f>' Income Statement 损益表'!F11*2/('Balance Sheet资产负债表'!F16+'Balance Sheet资产负债表'!F17+'Balance Sheet资产负债表'!G16+'Balance Sheet资产负债表'!G17)</f>
        <v>0.14181808422126196</v>
      </c>
      <c r="G6" s="76">
        <f>' Income Statement 损益表'!G11*2/('Balance Sheet资产负债表'!G16+'Balance Sheet资产负债表'!G17+'Balance Sheet资产负债表'!H16+'Balance Sheet资产负债表'!H17)</f>
        <v>0.10727564889588945</v>
      </c>
      <c r="H6" s="76">
        <f>' Income Statement 损益表'!H11*2/('Balance Sheet资产负债表'!H16+'Balance Sheet资产负债表'!H17+'Balance Sheet资产负债表'!I16+'Balance Sheet资产负债表'!I17)</f>
        <v>0.03356184160404944</v>
      </c>
      <c r="I6" s="76">
        <f>' Income Statement 损益表'!I11*2/('Balance Sheet资产负债表'!I16+'Balance Sheet资产负债表'!I17+'Balance Sheet资产负债表'!J16+'Balance Sheet资产负债表'!J17)</f>
        <v>0.05072887311597226</v>
      </c>
      <c r="J6" s="76">
        <f>' Income Statement 损益表'!J11*2/('Balance Sheet资产负债表'!J16+'Balance Sheet资产负债表'!J17+'Balance Sheet资产负债表'!K16+'Balance Sheet资产负债表'!K17)</f>
        <v>0.06771600927431594</v>
      </c>
      <c r="K6" s="76">
        <f>' Income Statement 损益表'!K11*2/('Balance Sheet资产负债表'!K16+'Balance Sheet资产负债表'!K17+'Balance Sheet资产负债表'!L16+'Balance Sheet资产负债表'!L17)</f>
        <v>-0.062254822844794735</v>
      </c>
      <c r="L6" s="76">
        <f>' Income Statement 损益表'!L11*2/('Balance Sheet资产负债表'!L16+'Balance Sheet资产负债表'!L17+'Balance Sheet资产负债表'!M16+'Balance Sheet资产负债表'!M17)</f>
        <v>-0.048621558573432255</v>
      </c>
      <c r="M6" s="76">
        <f>31069*2/(1984295+1988078)</f>
        <v>0.015642539106977115</v>
      </c>
      <c r="N6" s="44">
        <f>111587/(1974078+1988078)*2</f>
        <v>0.056326404109277875</v>
      </c>
      <c r="O6" s="44">
        <f>252864/(1974078+1832594)*2</f>
        <v>0.13285305379607174</v>
      </c>
      <c r="P6" s="43">
        <v>0.064</v>
      </c>
      <c r="Q6" s="44">
        <v>0.081</v>
      </c>
      <c r="R6" s="44">
        <v>0.081</v>
      </c>
      <c r="S6" s="43">
        <v>0.096</v>
      </c>
      <c r="T6" s="43">
        <v>0.207</v>
      </c>
      <c r="U6" s="43">
        <v>0.209</v>
      </c>
      <c r="V6" s="44">
        <f>146519/1832594</f>
        <v>0.07995169688430716</v>
      </c>
    </row>
    <row r="7" spans="1:22" ht="15.75">
      <c r="A7" s="13"/>
      <c r="B7" s="45" t="s">
        <v>51</v>
      </c>
      <c r="C7" s="55" t="s">
        <v>145</v>
      </c>
      <c r="D7" s="76">
        <f>' Income Statement 损益表'!D11*2/('Balance Sheet资产负债表'!D11+'Balance Sheet资产负债表'!E11)</f>
        <v>0.034931718017071706</v>
      </c>
      <c r="E7" s="76">
        <f>' Income Statement 损益表'!E11*2/('Balance Sheet资产负债表'!E11+'Balance Sheet资产负债表'!F11)</f>
        <v>0.05147695560607396</v>
      </c>
      <c r="F7" s="76">
        <f>' Income Statement 损益表'!F11*2/('Balance Sheet资产负债表'!F11+'Balance Sheet资产负债表'!G11)</f>
        <v>0.07253718148297628</v>
      </c>
      <c r="G7" s="76">
        <f>' Income Statement 损益表'!G11*2/('Balance Sheet资产负债表'!G11+'Balance Sheet资产负债表'!H11)</f>
        <v>0.0518142743500011</v>
      </c>
      <c r="H7" s="76">
        <f>' Income Statement 损益表'!H11*2/('Balance Sheet资产负债表'!H11+'Balance Sheet资产负债表'!I11)</f>
        <v>0.015665981382805387</v>
      </c>
      <c r="I7" s="76">
        <f>' Income Statement 损益表'!I11*2/('Balance Sheet资产负债表'!I11+'Balance Sheet资产负债表'!J11)</f>
        <v>0.02399002889697937</v>
      </c>
      <c r="J7" s="76">
        <f>' Income Statement 损益表'!J11*2/('Balance Sheet资产负债表'!J11+'Balance Sheet资产负债表'!K11)</f>
        <v>0.03178160932770423</v>
      </c>
      <c r="K7" s="76">
        <f>' Income Statement 损益表'!K11*2/('Balance Sheet资产负债表'!K11+'Balance Sheet资产负债表'!L11)</f>
        <v>-0.029031456777327717</v>
      </c>
      <c r="L7" s="76">
        <f>' Income Statement 损益表'!L11*2/('Balance Sheet资产负债表'!L11+'Balance Sheet资产负债表'!M11)</f>
        <v>-0.023758637654938183</v>
      </c>
      <c r="M7" s="76">
        <f>31069*2/('Balance Sheet资产负债表'!M11+'Balance Sheet资产负债表'!N11)</f>
        <v>0.008129782402916036</v>
      </c>
      <c r="N7" s="44">
        <f>111587/('Balance Sheet资产负债表'!N11+'Balance Sheet资产负债表'!O11)*2</f>
        <v>0.031037668988643786</v>
      </c>
      <c r="O7" s="44">
        <f>252864/('Balance Sheet资产负债表'!O11+'Balance Sheet资产负债表'!Q11)*2</f>
        <v>0.0771713011899165</v>
      </c>
      <c r="P7" s="43">
        <v>0.037</v>
      </c>
      <c r="Q7" s="35">
        <v>0.05</v>
      </c>
      <c r="R7" s="35">
        <v>0.052</v>
      </c>
      <c r="S7" s="35">
        <v>0.058</v>
      </c>
      <c r="T7" s="35">
        <v>0.107</v>
      </c>
      <c r="U7" s="35">
        <v>0.086</v>
      </c>
      <c r="V7" s="44">
        <f>146519/'Balance Sheet资产负债表'!Q11</f>
        <v>0.04790619842168728</v>
      </c>
    </row>
    <row r="8" spans="1:22" ht="25.5">
      <c r="A8" s="13"/>
      <c r="B8" s="42" t="s">
        <v>63</v>
      </c>
      <c r="C8" s="65" t="s">
        <v>149</v>
      </c>
      <c r="D8" s="77">
        <f>-('Balance Sheet资产负债表'!D7+'Balance Sheet资产负债表'!E7)/2*360/' Income Statement 损益表'!D8</f>
        <v>41.75548200495841</v>
      </c>
      <c r="E8" s="77">
        <f>-('Balance Sheet资产负债表'!E7+'Balance Sheet资产负债表'!F7)/2*360/' Income Statement 损益表'!E8</f>
        <v>47.54147000888208</v>
      </c>
      <c r="F8" s="77">
        <f>-('Balance Sheet资产负债表'!F7+'Balance Sheet资产负债表'!G7)/2*360/' Income Statement 损益表'!F8</f>
        <v>40.92908015730832</v>
      </c>
      <c r="G8" s="77">
        <f>-('Balance Sheet资产负债表'!G7+'Balance Sheet资产负债表'!H7)/2*360/' Income Statement 损益表'!G8</f>
        <v>45.46967937506229</v>
      </c>
      <c r="H8" s="77">
        <f>-('Balance Sheet资产负债表'!H7+'Balance Sheet资产负债表'!I7)/2*360/' Income Statement 损益表'!H8</f>
        <v>48.67374597126599</v>
      </c>
      <c r="I8" s="77">
        <f>-('Balance Sheet资产负债表'!I7+'Balance Sheet资产负债表'!J7)/2*360/' Income Statement 损益表'!I8</f>
        <v>42.85468895350538</v>
      </c>
      <c r="J8" s="77">
        <f>-('Balance Sheet资产负债表'!J7+'Balance Sheet资产负债表'!K7)/2*360/' Income Statement 损益表'!J8</f>
        <v>43.113210683484716</v>
      </c>
      <c r="K8" s="77">
        <f>-('Balance Sheet资产负债表'!K7+'Balance Sheet资产负债表'!L7)/2*360/' Income Statement 损益表'!K8</f>
        <v>39.887427962246626</v>
      </c>
      <c r="L8" s="77">
        <f>-('Balance Sheet资产负债表'!L7+'Balance Sheet资产负债表'!M7)/2*360/' Income Statement 损益表'!L8</f>
        <v>34.50378598638969</v>
      </c>
      <c r="M8" s="77">
        <f>-('Balance Sheet资产负债表'!M7+'Balance Sheet资产负债表'!N7)/2*360/' Income Statement 损益表'!M8</f>
        <v>33.59176311046933</v>
      </c>
      <c r="N8" s="66">
        <f>360*('Balance Sheet资产负债表'!N7+'Balance Sheet资产负债表'!O7)/2/-' Income Statement 损益表'!N8</f>
        <v>32.785689250061665</v>
      </c>
      <c r="O8" s="66">
        <f>360*('Balance Sheet资产负债表'!O7+'Balance Sheet资产负债表'!Q7)/2/-' Income Statement 损益表'!O8</f>
        <v>29.272300125062404</v>
      </c>
      <c r="P8" s="46">
        <v>29</v>
      </c>
      <c r="Q8" s="46">
        <v>28</v>
      </c>
      <c r="R8" s="46">
        <v>27</v>
      </c>
      <c r="S8" s="46">
        <v>26</v>
      </c>
      <c r="T8" s="46">
        <v>33</v>
      </c>
      <c r="U8" s="46">
        <v>31</v>
      </c>
      <c r="V8" s="66">
        <f>360*('Balance Sheet资产负债表'!Q7+'Balance Sheet资产负债表'!R7)/2/-' Income Statement 损益表'!Q8</f>
        <v>28.097647657659085</v>
      </c>
    </row>
    <row r="9" spans="1:23" ht="25.5">
      <c r="A9" s="13"/>
      <c r="B9" s="42" t="s">
        <v>64</v>
      </c>
      <c r="C9" s="65" t="s">
        <v>147</v>
      </c>
      <c r="D9" s="77">
        <f>(213087+239110)/2*360/' Income Statement 损益表'!D7</f>
        <v>13.1385247390106</v>
      </c>
      <c r="E9" s="77">
        <f>(213087+301522)/2*360/' Income Statement 损益表'!E7</f>
        <v>14.183274752886469</v>
      </c>
      <c r="F9" s="77">
        <f>(295843+301522)/2*360/' Income Statement 损益表'!F7</f>
        <v>11.588239681064406</v>
      </c>
      <c r="G9" s="77">
        <f>(307205+295843)/2*360/' Income Statement 损益表'!G7</f>
        <v>13.509129697483798</v>
      </c>
      <c r="H9" s="77">
        <f>(396412+307205)/2*360/' Income Statement 损益表'!H7</f>
        <v>17.610209581292093</v>
      </c>
      <c r="I9" s="77">
        <f>(396412+385222)/2*360/' Income Statement 损益表'!I7</f>
        <v>16.537702070778447</v>
      </c>
      <c r="J9" s="77">
        <f>(385222+322296)/2*360/' Income Statement 损益表'!J7</f>
        <v>15.676072029564553</v>
      </c>
      <c r="K9" s="77">
        <f>(322296+354586)/2*360/' Income Statement 损益表'!K7</f>
        <v>13.691214351379424</v>
      </c>
      <c r="L9" s="77">
        <f>(354586+364251)/2*360/' Income Statement 损益表'!L7</f>
        <v>11.343922225925873</v>
      </c>
      <c r="M9" s="77">
        <f>(364251+341003)/2*360/' Income Statement 损益表'!M7</f>
        <v>10.802139738195637</v>
      </c>
      <c r="N9" s="66">
        <f>(380717+341003)/2*360/' Income Statement 损益表'!N7</f>
        <v>11.360247580878942</v>
      </c>
      <c r="O9" s="66">
        <f>(380717+318041)/2*360/' Income Statement 损益表'!O7</f>
        <v>11.214077248259665</v>
      </c>
      <c r="P9" s="46">
        <v>12</v>
      </c>
      <c r="Q9" s="46">
        <v>10</v>
      </c>
      <c r="R9" s="46">
        <v>9</v>
      </c>
      <c r="S9" s="46">
        <v>8</v>
      </c>
      <c r="T9" s="46">
        <v>10</v>
      </c>
      <c r="U9" s="46">
        <v>11</v>
      </c>
      <c r="V9" s="66">
        <f>(318041)*360/' Income Statement 损益表'!Q7</f>
        <v>11.986772279325724</v>
      </c>
      <c r="W9" s="67" t="s">
        <v>151</v>
      </c>
    </row>
    <row r="10" spans="1:22" ht="25.5">
      <c r="A10" s="13"/>
      <c r="B10" s="42" t="s">
        <v>65</v>
      </c>
      <c r="C10" s="65" t="s">
        <v>148</v>
      </c>
      <c r="D10" s="77">
        <f>-('Balance Sheet资产负债表'!D12+'Balance Sheet资产负债表'!E12)/2*360/' Income Statement 损益表'!D8</f>
        <v>48.6812594742839</v>
      </c>
      <c r="E10" s="77">
        <f>-('Balance Sheet资产负债表'!E12+'Balance Sheet资产负债表'!F12)/2*360/' Income Statement 损益表'!E8</f>
        <v>53.54406562754457</v>
      </c>
      <c r="F10" s="77">
        <f>-('Balance Sheet资产负债表'!F12+'Balance Sheet资产负债表'!G12)/2*360/' Income Statement 损益表'!F8</f>
        <v>45.4134723056564</v>
      </c>
      <c r="G10" s="77">
        <f>-('Balance Sheet资产负债表'!G12+'Balance Sheet资产负债表'!H12)/2*360/' Income Statement 损益表'!G8</f>
        <v>49.83637505279196</v>
      </c>
      <c r="H10" s="77">
        <f>-('Balance Sheet资产负债表'!H12+'Balance Sheet资产负债表'!I12)/2*360/' Income Statement 损益表'!H8</f>
        <v>60.364966102583004</v>
      </c>
      <c r="I10" s="77">
        <f>-('Balance Sheet资产负债表'!I12+'Balance Sheet资产负债表'!J12)/2*360/' Income Statement 损益表'!I8</f>
        <v>53.718645237914146</v>
      </c>
      <c r="J10" s="77">
        <f>-('Balance Sheet资产负债表'!J12+'Balance Sheet资产负债表'!K12)/2*360/' Income Statement 损益表'!J8</f>
        <v>48.84240176086902</v>
      </c>
      <c r="K10" s="77">
        <f>-('Balance Sheet资产负债表'!K12+'Balance Sheet资产负债表'!L12)/2*360/' Income Statement 损益表'!K8</f>
        <v>46.02508117600579</v>
      </c>
      <c r="L10" s="77">
        <f>-('Balance Sheet资产负债表'!L12+'Balance Sheet资产负债表'!M12)/2*360/' Income Statement 损益表'!L8</f>
        <v>38.17284806652815</v>
      </c>
      <c r="M10" s="77">
        <f>-('Balance Sheet资产负债表'!M12+'Balance Sheet资产负债表'!N12)/2*360/' Income Statement 损益表'!M8</f>
        <v>35.314841736655914</v>
      </c>
      <c r="N10" s="66">
        <f>('Balance Sheet资产负债表'!N12+'Balance Sheet资产负债表'!O12)/2*360/-' Income Statement 损益表'!N8</f>
        <v>35.858532832840865</v>
      </c>
      <c r="O10" s="66">
        <f>('Balance Sheet资产负债表'!O12+'Balance Sheet资产负债表'!Q12)/2*360/-' Income Statement 损益表'!O8</f>
        <v>35.024896646868015</v>
      </c>
      <c r="P10" s="46">
        <v>33</v>
      </c>
      <c r="Q10" s="46">
        <v>36</v>
      </c>
      <c r="R10" s="46">
        <v>33</v>
      </c>
      <c r="S10" s="46">
        <v>17</v>
      </c>
      <c r="T10" s="46">
        <v>22</v>
      </c>
      <c r="U10" s="46">
        <v>23</v>
      </c>
      <c r="V10" s="59">
        <f>-('Balance Sheet资产负债表'!Q12+'Balance Sheet资产负债表'!R12)/2*360/' Income Statement 损益表'!Q8</f>
        <v>35.56534372357338</v>
      </c>
    </row>
    <row r="11" spans="3:15" ht="15.75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3:15" ht="15.7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3:15" ht="15.75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3:15" ht="15.7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3:15" ht="15.7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3:15" ht="15.7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3:15" ht="15.7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3:15" ht="15.7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3:15" ht="15.7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3:15" ht="15.75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3:15" ht="15.75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3:15" ht="15.7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4" spans="3:17" ht="15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88"/>
      <c r="Q24" s="88"/>
    </row>
    <row r="25" spans="3:15" ht="15.7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3:15" ht="15.7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3:15" ht="15.7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3:15" ht="15.7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3:15" ht="15.7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3:15" ht="15.7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3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4" sqref="A20:H24"/>
    </sheetView>
  </sheetViews>
  <sheetFormatPr defaultColWidth="9.00390625" defaultRowHeight="15.75"/>
  <cols>
    <col min="1" max="1" width="16.125" style="0" customWidth="1"/>
    <col min="2" max="2" width="20.125" style="0" customWidth="1"/>
    <col min="3" max="14" width="10.50390625" style="0" customWidth="1"/>
    <col min="15" max="15" width="9.375" style="0" hidden="1" customWidth="1"/>
    <col min="16" max="20" width="9.375" style="0" bestFit="1" customWidth="1"/>
  </cols>
  <sheetData>
    <row r="1" spans="1:20" ht="15.75">
      <c r="A1" s="13" t="s">
        <v>80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60" t="s">
        <v>139</v>
      </c>
      <c r="Q1" s="3"/>
      <c r="R1" s="60" t="s">
        <v>140</v>
      </c>
      <c r="S1" s="13"/>
      <c r="T1" s="13"/>
    </row>
    <row r="2" spans="1:20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.75">
      <c r="A3" s="1"/>
      <c r="B3" t="s">
        <v>85</v>
      </c>
      <c r="C3" t="s">
        <v>201</v>
      </c>
      <c r="D3" t="s">
        <v>197</v>
      </c>
      <c r="E3" t="s">
        <v>192</v>
      </c>
      <c r="F3" t="s">
        <v>191</v>
      </c>
      <c r="G3" t="s">
        <v>188</v>
      </c>
      <c r="H3" t="s">
        <v>181</v>
      </c>
      <c r="I3" t="s">
        <v>182</v>
      </c>
      <c r="J3" t="s">
        <v>183</v>
      </c>
      <c r="K3" t="s">
        <v>184</v>
      </c>
      <c r="L3" t="s">
        <v>172</v>
      </c>
      <c r="M3" t="s">
        <v>165</v>
      </c>
      <c r="N3" t="s">
        <v>144</v>
      </c>
      <c r="O3" s="1" t="s">
        <v>74</v>
      </c>
      <c r="P3" s="2" t="s">
        <v>75</v>
      </c>
      <c r="Q3" s="2" t="s">
        <v>76</v>
      </c>
      <c r="R3" s="2" t="s">
        <v>77</v>
      </c>
      <c r="S3" s="2" t="s">
        <v>78</v>
      </c>
      <c r="T3" s="2" t="s">
        <v>45</v>
      </c>
    </row>
    <row r="4" spans="1:20" ht="15.75">
      <c r="A4" s="12" t="s">
        <v>81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s="1" t="s">
        <v>59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</row>
    <row r="5" spans="1:20" ht="15.75">
      <c r="A5" s="15" t="s">
        <v>52</v>
      </c>
      <c r="B5" s="57" t="s">
        <v>133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6"/>
      <c r="O5" s="36"/>
      <c r="P5" s="36"/>
      <c r="Q5" s="36"/>
      <c r="R5" s="36"/>
      <c r="S5" s="36"/>
      <c r="T5" s="36"/>
    </row>
    <row r="6" spans="1:20" ht="15.75">
      <c r="A6" s="16" t="s">
        <v>57</v>
      </c>
      <c r="B6" s="55" t="s">
        <v>134</v>
      </c>
      <c r="C6" s="110">
        <v>1703038</v>
      </c>
      <c r="D6" s="110">
        <v>1595739</v>
      </c>
      <c r="E6" s="110">
        <v>1753326</v>
      </c>
      <c r="F6" s="110">
        <v>1614836</v>
      </c>
      <c r="G6" s="110">
        <v>1134149</v>
      </c>
      <c r="H6" s="110">
        <v>2382142</v>
      </c>
      <c r="I6" s="110">
        <v>2172759</v>
      </c>
      <c r="J6" s="110">
        <v>3324272</v>
      </c>
      <c r="K6" s="110">
        <v>5115684</v>
      </c>
      <c r="L6" s="110">
        <v>5064118</v>
      </c>
      <c r="M6" s="37">
        <v>5000702</v>
      </c>
      <c r="N6" s="37">
        <v>5138057</v>
      </c>
      <c r="O6" s="37">
        <v>2377218</v>
      </c>
      <c r="P6" s="37">
        <v>4527547</v>
      </c>
      <c r="Q6" s="37">
        <v>4057684</v>
      </c>
      <c r="R6" s="37">
        <v>4453981</v>
      </c>
      <c r="S6" s="37">
        <v>3716607</v>
      </c>
      <c r="T6" s="37">
        <v>3000362</v>
      </c>
    </row>
    <row r="7" spans="1:20" ht="15.75">
      <c r="A7" s="16" t="s">
        <v>55</v>
      </c>
      <c r="B7" s="55" t="s">
        <v>135</v>
      </c>
      <c r="C7" s="110">
        <v>2340369</v>
      </c>
      <c r="D7" s="110">
        <v>2811014</v>
      </c>
      <c r="E7" s="110">
        <v>5628834</v>
      </c>
      <c r="F7" s="110">
        <v>4379082</v>
      </c>
      <c r="G7" s="110">
        <v>4249355</v>
      </c>
      <c r="H7" s="110">
        <v>4498662</v>
      </c>
      <c r="I7" s="110">
        <v>4672269</v>
      </c>
      <c r="J7" s="110">
        <v>4493446</v>
      </c>
      <c r="K7" s="110">
        <v>4921879</v>
      </c>
      <c r="L7" s="110">
        <v>4888405</v>
      </c>
      <c r="M7" s="37">
        <v>4690681</v>
      </c>
      <c r="N7" s="37">
        <v>4577340</v>
      </c>
      <c r="O7" s="37">
        <v>2035716</v>
      </c>
      <c r="P7" s="37">
        <v>4068331</v>
      </c>
      <c r="Q7" s="37">
        <v>3818244</v>
      </c>
      <c r="R7" s="37">
        <v>4044646</v>
      </c>
      <c r="S7" s="37">
        <v>2631425</v>
      </c>
      <c r="T7" s="37">
        <v>1774260</v>
      </c>
    </row>
    <row r="8" spans="1:20" ht="15.75">
      <c r="A8" s="16" t="s">
        <v>56</v>
      </c>
      <c r="B8" s="55" t="s">
        <v>136</v>
      </c>
      <c r="C8" s="110">
        <v>2151768</v>
      </c>
      <c r="D8" s="110">
        <v>2124152</v>
      </c>
      <c r="E8" s="110">
        <v>1896704</v>
      </c>
      <c r="F8" s="110">
        <v>2041288</v>
      </c>
      <c r="G8" s="110">
        <v>1808407</v>
      </c>
      <c r="H8" s="110">
        <v>1626673</v>
      </c>
      <c r="I8" s="110">
        <v>1279025</v>
      </c>
      <c r="J8" s="110">
        <v>1081329</v>
      </c>
      <c r="K8" s="110">
        <v>1368603</v>
      </c>
      <c r="L8" s="110">
        <v>1799382</v>
      </c>
      <c r="M8" s="37">
        <v>1744072</v>
      </c>
      <c r="N8" s="37">
        <v>1500545</v>
      </c>
      <c r="O8" s="37">
        <v>646233</v>
      </c>
      <c r="P8" s="37">
        <v>955881</v>
      </c>
      <c r="Q8" s="37">
        <v>608829</v>
      </c>
      <c r="R8" s="37">
        <v>462286</v>
      </c>
      <c r="S8" s="37">
        <v>440162</v>
      </c>
      <c r="T8" s="37">
        <v>301544</v>
      </c>
    </row>
    <row r="9" spans="1:20" ht="15.75">
      <c r="A9" s="17"/>
      <c r="B9" s="46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37"/>
      <c r="N9" s="37"/>
      <c r="O9" s="37"/>
      <c r="P9" s="37"/>
      <c r="Q9" s="37"/>
      <c r="R9" s="24"/>
      <c r="S9" s="37"/>
      <c r="T9" s="37"/>
    </row>
    <row r="10" spans="1:20" ht="16.5" thickBot="1">
      <c r="A10" s="18" t="s">
        <v>53</v>
      </c>
      <c r="B10" s="58" t="s">
        <v>137</v>
      </c>
      <c r="C10" s="111">
        <f aca="true" t="shared" si="0" ref="C10:K10">SUM(C6:C9)</f>
        <v>6195175</v>
      </c>
      <c r="D10" s="111">
        <f t="shared" si="0"/>
        <v>6530905</v>
      </c>
      <c r="E10" s="111">
        <f t="shared" si="0"/>
        <v>9278864</v>
      </c>
      <c r="F10" s="111">
        <f t="shared" si="0"/>
        <v>8035206</v>
      </c>
      <c r="G10" s="111">
        <f t="shared" si="0"/>
        <v>7191911</v>
      </c>
      <c r="H10" s="111">
        <f t="shared" si="0"/>
        <v>8507477</v>
      </c>
      <c r="I10" s="111">
        <f t="shared" si="0"/>
        <v>8124053</v>
      </c>
      <c r="J10" s="111">
        <f t="shared" si="0"/>
        <v>8899047</v>
      </c>
      <c r="K10" s="111">
        <f t="shared" si="0"/>
        <v>11406166</v>
      </c>
      <c r="L10" s="111">
        <v>11751905</v>
      </c>
      <c r="M10" s="38">
        <v>11435455</v>
      </c>
      <c r="N10" s="38">
        <v>11215942</v>
      </c>
      <c r="O10" s="38">
        <f>SUM(O6:O9)</f>
        <v>5059167</v>
      </c>
      <c r="P10" s="38">
        <f>SUM(P6:P8)</f>
        <v>9551759</v>
      </c>
      <c r="Q10" s="38">
        <f>SUM(Q6:Q8)</f>
        <v>8484757</v>
      </c>
      <c r="R10" s="38">
        <f>SUM(R6:R8)</f>
        <v>8960913</v>
      </c>
      <c r="S10" s="38">
        <f>SUM(S6:S8)</f>
        <v>6788194</v>
      </c>
      <c r="T10" s="38">
        <f>SUM(T6:T8)</f>
        <v>5076166</v>
      </c>
    </row>
    <row r="11" spans="1:20" ht="15.75">
      <c r="A11" s="1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6"/>
      <c r="O11" s="36"/>
      <c r="P11" s="36"/>
      <c r="Q11" s="36"/>
      <c r="R11" s="36"/>
      <c r="S11" s="36"/>
      <c r="T11" s="36"/>
    </row>
    <row r="12" spans="1:20" ht="15.75">
      <c r="A12" s="1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6"/>
      <c r="O12" s="36"/>
      <c r="P12" s="36"/>
      <c r="Q12" s="36"/>
      <c r="R12" s="36"/>
      <c r="S12" s="36"/>
      <c r="T12" s="36"/>
    </row>
    <row r="13" spans="1:20" ht="15.75">
      <c r="A13" s="1"/>
      <c r="B13" s="24"/>
      <c r="C13" s="2" t="s">
        <v>197</v>
      </c>
      <c r="D13" s="2" t="s">
        <v>197</v>
      </c>
      <c r="E13" s="2" t="s">
        <v>192</v>
      </c>
      <c r="F13" s="2" t="s">
        <v>191</v>
      </c>
      <c r="G13" s="2" t="s">
        <v>188</v>
      </c>
      <c r="H13" s="2" t="s">
        <v>181</v>
      </c>
      <c r="I13" s="2" t="s">
        <v>182</v>
      </c>
      <c r="J13" s="2" t="s">
        <v>183</v>
      </c>
      <c r="K13" s="2" t="s">
        <v>184</v>
      </c>
      <c r="L13" s="2" t="s">
        <v>172</v>
      </c>
      <c r="M13" s="2" t="s">
        <v>165</v>
      </c>
      <c r="N13" s="2" t="s">
        <v>142</v>
      </c>
      <c r="O13" s="1" t="s">
        <v>58</v>
      </c>
      <c r="P13" s="64" t="s">
        <v>48</v>
      </c>
      <c r="Q13" s="64" t="s">
        <v>47</v>
      </c>
      <c r="R13" s="64" t="s">
        <v>0</v>
      </c>
      <c r="S13" s="64" t="s">
        <v>46</v>
      </c>
      <c r="T13" s="2" t="s">
        <v>45</v>
      </c>
    </row>
    <row r="14" spans="1:20" ht="15.75">
      <c r="A14" s="12" t="s">
        <v>54</v>
      </c>
      <c r="B14" s="58" t="s">
        <v>138</v>
      </c>
      <c r="C14" s="2" t="s">
        <v>1</v>
      </c>
      <c r="D14" s="2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1" t="s">
        <v>59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</row>
    <row r="15" spans="1:20" ht="15.75">
      <c r="A15" s="15" t="s">
        <v>52</v>
      </c>
      <c r="B15" s="57" t="s">
        <v>133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36"/>
      <c r="O15" s="36"/>
      <c r="P15" s="36"/>
      <c r="Q15" s="36"/>
      <c r="R15" s="36"/>
      <c r="S15" s="36"/>
      <c r="T15" s="36"/>
    </row>
    <row r="16" spans="1:20" ht="15.75">
      <c r="A16" s="16" t="s">
        <v>57</v>
      </c>
      <c r="B16" s="24" t="s">
        <v>134</v>
      </c>
      <c r="C16" s="112">
        <f>ROUND(C6/C$10,3)</f>
        <v>0.275</v>
      </c>
      <c r="D16" s="112">
        <f>ROUND(D6/D$10,3)+0.001</f>
        <v>0.245</v>
      </c>
      <c r="E16" s="112">
        <f>ROUND(E6/E$10,3)</f>
        <v>0.189</v>
      </c>
      <c r="F16" s="112">
        <f>ROUND(F6/F$10,3)</f>
        <v>0.201</v>
      </c>
      <c r="G16" s="112">
        <f>ROUND(G6/G$10,3)</f>
        <v>0.158</v>
      </c>
      <c r="H16" s="112">
        <f>ROUND(H6/H$10,3)</f>
        <v>0.28</v>
      </c>
      <c r="I16" s="114">
        <f>ROUND(I6/I$10,3)+0.001</f>
        <v>0.268</v>
      </c>
      <c r="J16" s="114">
        <f>ROUND(J6/J$10,3)-0.001</f>
        <v>0.373</v>
      </c>
      <c r="K16" s="114">
        <f>ROUND(K6/K$10,3)-0.001</f>
        <v>0.448</v>
      </c>
      <c r="L16" s="112">
        <f aca="true" t="shared" si="1" ref="H16:L18">ROUND(L6/L$10,3)</f>
        <v>0.431</v>
      </c>
      <c r="M16" s="39">
        <f>M6/M10</f>
        <v>0.4372980349273378</v>
      </c>
      <c r="N16" s="39">
        <f>N6/N10</f>
        <v>0.4581030287068175</v>
      </c>
      <c r="O16" s="39">
        <f aca="true" t="shared" si="2" ref="O16:T16">O6/O10</f>
        <v>0.4698832831570889</v>
      </c>
      <c r="P16" s="39">
        <f t="shared" si="2"/>
        <v>0.4740013855039684</v>
      </c>
      <c r="Q16" s="39">
        <f t="shared" si="2"/>
        <v>0.4782321992250338</v>
      </c>
      <c r="R16" s="39">
        <f t="shared" si="2"/>
        <v>0.497045446150409</v>
      </c>
      <c r="S16" s="39">
        <f t="shared" si="2"/>
        <v>0.5475104276630868</v>
      </c>
      <c r="T16" s="39">
        <f t="shared" si="2"/>
        <v>0.5910685347957494</v>
      </c>
    </row>
    <row r="17" spans="1:20" ht="15.75">
      <c r="A17" s="16" t="s">
        <v>55</v>
      </c>
      <c r="B17" s="24" t="s">
        <v>135</v>
      </c>
      <c r="C17" s="112">
        <f>ROUND(C7/C$10,3)</f>
        <v>0.378</v>
      </c>
      <c r="D17" s="112">
        <f>ROUND(D7/D$10,3)</f>
        <v>0.43</v>
      </c>
      <c r="E17" s="112">
        <f aca="true" t="shared" si="3" ref="E17:G18">ROUND(E7/E$10,3)</f>
        <v>0.607</v>
      </c>
      <c r="F17" s="112">
        <f t="shared" si="3"/>
        <v>0.545</v>
      </c>
      <c r="G17" s="112">
        <f t="shared" si="3"/>
        <v>0.591</v>
      </c>
      <c r="H17" s="112">
        <f t="shared" si="1"/>
        <v>0.529</v>
      </c>
      <c r="I17" s="112">
        <f>ROUND(I7/I$10,3)</f>
        <v>0.575</v>
      </c>
      <c r="J17" s="112">
        <f t="shared" si="1"/>
        <v>0.505</v>
      </c>
      <c r="K17" s="112">
        <f t="shared" si="1"/>
        <v>0.432</v>
      </c>
      <c r="L17" s="112">
        <f t="shared" si="1"/>
        <v>0.416</v>
      </c>
      <c r="M17" s="39">
        <f>M7/M10</f>
        <v>0.41018752642548983</v>
      </c>
      <c r="N17" s="39">
        <f>N7/N10</f>
        <v>0.4081101703272003</v>
      </c>
      <c r="O17" s="39">
        <f aca="true" t="shared" si="4" ref="O17:T17">O7/O10</f>
        <v>0.40238165690122507</v>
      </c>
      <c r="P17" s="39">
        <f t="shared" si="4"/>
        <v>0.42592479563188307</v>
      </c>
      <c r="Q17" s="39">
        <f t="shared" si="4"/>
        <v>0.45001218066704796</v>
      </c>
      <c r="R17" s="39">
        <f t="shared" si="4"/>
        <v>0.45136539100424256</v>
      </c>
      <c r="S17" s="39">
        <f t="shared" si="4"/>
        <v>0.3876472888075974</v>
      </c>
      <c r="T17" s="39">
        <f t="shared" si="4"/>
        <v>0.3495275765213352</v>
      </c>
    </row>
    <row r="18" spans="1:20" ht="15.75">
      <c r="A18" s="16" t="s">
        <v>56</v>
      </c>
      <c r="B18" s="24" t="s">
        <v>136</v>
      </c>
      <c r="C18" s="112">
        <f>ROUND(C8/C$10,3)</f>
        <v>0.347</v>
      </c>
      <c r="D18" s="112">
        <f>ROUND(D8/D$10,3)</f>
        <v>0.325</v>
      </c>
      <c r="E18" s="112">
        <f t="shared" si="3"/>
        <v>0.204</v>
      </c>
      <c r="F18" s="112">
        <f t="shared" si="3"/>
        <v>0.254</v>
      </c>
      <c r="G18" s="112">
        <f t="shared" si="3"/>
        <v>0.251</v>
      </c>
      <c r="H18" s="112">
        <f t="shared" si="1"/>
        <v>0.191</v>
      </c>
      <c r="I18" s="112">
        <f>ROUND(I8/I$10,3)</f>
        <v>0.157</v>
      </c>
      <c r="J18" s="112">
        <f t="shared" si="1"/>
        <v>0.122</v>
      </c>
      <c r="K18" s="112">
        <f t="shared" si="1"/>
        <v>0.12</v>
      </c>
      <c r="L18" s="112">
        <f t="shared" si="1"/>
        <v>0.153</v>
      </c>
      <c r="M18" s="39">
        <f>M8/M10</f>
        <v>0.15251443864717232</v>
      </c>
      <c r="N18" s="39">
        <f>N8/N10</f>
        <v>0.13378680096598217</v>
      </c>
      <c r="O18" s="39">
        <f aca="true" t="shared" si="5" ref="O18:T18">O8/O10</f>
        <v>0.12773505994168605</v>
      </c>
      <c r="P18" s="39">
        <f t="shared" si="5"/>
        <v>0.10007381886414848</v>
      </c>
      <c r="Q18" s="39">
        <f t="shared" si="5"/>
        <v>0.07175562010791824</v>
      </c>
      <c r="R18" s="39">
        <f t="shared" si="5"/>
        <v>0.05158916284534846</v>
      </c>
      <c r="S18" s="39">
        <f t="shared" si="5"/>
        <v>0.06484228352931574</v>
      </c>
      <c r="T18" s="39">
        <f t="shared" si="5"/>
        <v>0.059403888682915414</v>
      </c>
    </row>
    <row r="19" spans="1:20" ht="15.75">
      <c r="A19" s="17"/>
      <c r="B19" s="24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39"/>
      <c r="N19" s="39"/>
      <c r="O19" s="39"/>
      <c r="P19" s="39"/>
      <c r="Q19" s="39"/>
      <c r="R19" s="39"/>
      <c r="S19" s="39"/>
      <c r="T19" s="24"/>
    </row>
    <row r="20" spans="1:20" ht="16.5" thickBot="1">
      <c r="A20" s="18" t="s">
        <v>53</v>
      </c>
      <c r="B20" s="24" t="s">
        <v>137</v>
      </c>
      <c r="C20" s="113">
        <f>C16+C17+C18</f>
        <v>1</v>
      </c>
      <c r="D20" s="113">
        <f>D16+D17+D18</f>
        <v>1</v>
      </c>
      <c r="E20" s="113">
        <f>E16+E17+E18</f>
        <v>1</v>
      </c>
      <c r="F20" s="113">
        <f>F16+F17+F18</f>
        <v>1</v>
      </c>
      <c r="G20" s="113">
        <f>G16+G17+G18</f>
        <v>1</v>
      </c>
      <c r="H20" s="113">
        <f aca="true" t="shared" si="6" ref="H20:N20">H16+H17+H18</f>
        <v>1</v>
      </c>
      <c r="I20" s="113">
        <f t="shared" si="6"/>
        <v>1</v>
      </c>
      <c r="J20" s="113">
        <f t="shared" si="6"/>
        <v>1</v>
      </c>
      <c r="K20" s="113">
        <f t="shared" si="6"/>
        <v>1</v>
      </c>
      <c r="L20" s="113">
        <f t="shared" si="6"/>
        <v>1</v>
      </c>
      <c r="M20" s="40">
        <f t="shared" si="6"/>
        <v>0.9999999999999999</v>
      </c>
      <c r="N20" s="40">
        <f t="shared" si="6"/>
        <v>1</v>
      </c>
      <c r="O20" s="40">
        <f aca="true" t="shared" si="7" ref="O20:T20">SUM(O16:O18)</f>
        <v>1</v>
      </c>
      <c r="P20" s="40">
        <f t="shared" si="7"/>
        <v>0.9999999999999999</v>
      </c>
      <c r="Q20" s="40">
        <f t="shared" si="7"/>
        <v>1</v>
      </c>
      <c r="R20" s="40">
        <f t="shared" si="7"/>
        <v>1</v>
      </c>
      <c r="S20" s="40">
        <f t="shared" si="7"/>
        <v>0.9999999999999999</v>
      </c>
      <c r="T20" s="40">
        <f t="shared" si="7"/>
        <v>1</v>
      </c>
    </row>
    <row r="21" spans="2:14" ht="15.7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ht="15.75">
      <c r="B22" s="24"/>
      <c r="C22" s="109">
        <f>C10-' Income Statement 损益表'!D7</f>
        <v>0</v>
      </c>
      <c r="D22" s="109">
        <f>D10-' Income Statement 损益表'!E7</f>
        <v>0</v>
      </c>
      <c r="E22" s="109">
        <f>E10-' Income Statement 损益表'!F7</f>
        <v>0</v>
      </c>
      <c r="F22" s="109">
        <f>F10-' Income Statement 损益表'!G7</f>
        <v>0</v>
      </c>
      <c r="G22" s="109">
        <f>G10-' Income Statement 损益表'!H7</f>
        <v>0</v>
      </c>
      <c r="H22" s="109">
        <f>H10-' Income Statement 损益表'!I7</f>
        <v>0</v>
      </c>
      <c r="I22" s="109">
        <f>I10-' Income Statement 损益表'!J7</f>
        <v>0</v>
      </c>
      <c r="J22" s="109">
        <f>J10-' Income Statement 损益表'!K7</f>
        <v>0</v>
      </c>
      <c r="K22" s="109">
        <f>K10-' Income Statement 损益表'!L7</f>
        <v>0</v>
      </c>
      <c r="L22" s="109">
        <f>L10-' Income Statement 损益表'!M7</f>
        <v>0</v>
      </c>
      <c r="M22" s="109">
        <f>M10-' Income Statement 损益表'!N7</f>
        <v>0</v>
      </c>
      <c r="N22" s="24"/>
    </row>
    <row r="23" spans="2:14" ht="15.7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2:14" ht="15.7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ht="15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14" ht="15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4" ht="15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4" ht="15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2:14" ht="15.7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14" ht="15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Windows 用户</cp:lastModifiedBy>
  <dcterms:created xsi:type="dcterms:W3CDTF">2009-09-23T08:55:22Z</dcterms:created>
  <dcterms:modified xsi:type="dcterms:W3CDTF">2023-04-28T07:25:16Z</dcterms:modified>
  <cp:category/>
  <cp:version/>
  <cp:contentType/>
  <cp:contentStatus/>
</cp:coreProperties>
</file>